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carcella\"/>
    </mc:Choice>
  </mc:AlternateContent>
  <xr:revisionPtr revIDLastSave="0" documentId="13_ncr:1_{CCAD92E8-9322-4FE7-8641-BC2078436D62}" xr6:coauthVersionLast="36" xr6:coauthVersionMax="36" xr10:uidLastSave="{00000000-0000-0000-0000-000000000000}"/>
  <bookViews>
    <workbookView xWindow="0" yWindow="0" windowWidth="28800" windowHeight="11625" xr2:uid="{CE118487-09C0-42B7-B7C8-368A04AA4EB3}"/>
  </bookViews>
  <sheets>
    <sheet name="stato patrimoniale" sheetId="1" r:id="rId1"/>
    <sheet name="conto economico" sheetId="2" r:id="rId2"/>
  </sheets>
  <externalReferences>
    <externalReference r:id="rId3"/>
  </externalReferences>
  <definedNames>
    <definedName name="_xlnm.Print_Area" localSheetId="1">'conto economico'!$B$1:$M$64</definedName>
    <definedName name="_xlnm.Print_Area" localSheetId="0">'stato patrimoniale'!$B$1:$M$128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2" l="1"/>
  <c r="M64" i="2" s="1"/>
  <c r="K63" i="2"/>
  <c r="H63" i="2"/>
  <c r="J63" i="2" s="1"/>
  <c r="K62" i="2"/>
  <c r="J62" i="2"/>
  <c r="H62" i="2"/>
  <c r="M62" i="2" s="1"/>
  <c r="H61" i="2"/>
  <c r="M61" i="2" s="1"/>
  <c r="K60" i="2"/>
  <c r="H60" i="2"/>
  <c r="I57" i="2"/>
  <c r="K57" i="2" s="1"/>
  <c r="R56" i="2"/>
  <c r="K56" i="2"/>
  <c r="H56" i="2"/>
  <c r="J56" i="2" s="1"/>
  <c r="R55" i="2"/>
  <c r="K55" i="2"/>
  <c r="H55" i="2"/>
  <c r="R54" i="2"/>
  <c r="K54" i="2"/>
  <c r="J54" i="2"/>
  <c r="P53" i="2"/>
  <c r="R53" i="2" s="1"/>
  <c r="K53" i="2"/>
  <c r="J53" i="2"/>
  <c r="R52" i="2"/>
  <c r="I52" i="2"/>
  <c r="R51" i="2"/>
  <c r="H51" i="2"/>
  <c r="M51" i="2" s="1"/>
  <c r="R50" i="2"/>
  <c r="H50" i="2"/>
  <c r="R49" i="2"/>
  <c r="K49" i="2"/>
  <c r="H49" i="2"/>
  <c r="J49" i="2" s="1"/>
  <c r="P48" i="2"/>
  <c r="H48" i="2"/>
  <c r="R47" i="2"/>
  <c r="K47" i="2"/>
  <c r="J47" i="2"/>
  <c r="K46" i="2"/>
  <c r="J46" i="2"/>
  <c r="R45" i="2"/>
  <c r="K44" i="2"/>
  <c r="J44" i="2"/>
  <c r="R42" i="2"/>
  <c r="H42" i="2"/>
  <c r="J42" i="2" s="1"/>
  <c r="K42" i="2" s="1"/>
  <c r="R41" i="2"/>
  <c r="H41" i="2"/>
  <c r="M41" i="2" s="1"/>
  <c r="R40" i="2"/>
  <c r="H40" i="2"/>
  <c r="M40" i="2" s="1"/>
  <c r="U39" i="2"/>
  <c r="U46" i="2" s="1"/>
  <c r="T39" i="2"/>
  <c r="S39" i="2"/>
  <c r="S46" i="2" s="1"/>
  <c r="I39" i="2"/>
  <c r="R38" i="2"/>
  <c r="K38" i="2"/>
  <c r="H38" i="2"/>
  <c r="R37" i="2"/>
  <c r="H37" i="2"/>
  <c r="M37" i="2" s="1"/>
  <c r="H36" i="2"/>
  <c r="J36" i="2" s="1"/>
  <c r="K36" i="2" s="1"/>
  <c r="T35" i="2"/>
  <c r="S35" i="2"/>
  <c r="H35" i="2"/>
  <c r="M35" i="2" s="1"/>
  <c r="M34" i="2"/>
  <c r="H34" i="2"/>
  <c r="J34" i="2" s="1"/>
  <c r="K34" i="2" s="1"/>
  <c r="P33" i="2"/>
  <c r="R33" i="2" s="1"/>
  <c r="K33" i="2"/>
  <c r="H33" i="2"/>
  <c r="M33" i="2" s="1"/>
  <c r="P32" i="2"/>
  <c r="R32" i="2" s="1"/>
  <c r="I32" i="2"/>
  <c r="J31" i="2"/>
  <c r="K31" i="2" s="1"/>
  <c r="H31" i="2"/>
  <c r="M31" i="2" s="1"/>
  <c r="H30" i="2"/>
  <c r="R29" i="2"/>
  <c r="I29" i="2"/>
  <c r="H28" i="2"/>
  <c r="K27" i="2"/>
  <c r="H27" i="2"/>
  <c r="J27" i="2" s="1"/>
  <c r="K26" i="2"/>
  <c r="H26" i="2"/>
  <c r="M26" i="2" s="1"/>
  <c r="R25" i="2"/>
  <c r="K25" i="2"/>
  <c r="H25" i="2"/>
  <c r="J25" i="2" s="1"/>
  <c r="R24" i="2"/>
  <c r="I24" i="2"/>
  <c r="R23" i="2"/>
  <c r="H23" i="2"/>
  <c r="M23" i="2" s="1"/>
  <c r="P22" i="2"/>
  <c r="R22" i="2" s="1"/>
  <c r="H22" i="2"/>
  <c r="M22" i="2" s="1"/>
  <c r="P21" i="2"/>
  <c r="H21" i="2"/>
  <c r="J21" i="2" s="1"/>
  <c r="K21" i="2" s="1"/>
  <c r="U20" i="2"/>
  <c r="H20" i="2"/>
  <c r="J20" i="2" s="1"/>
  <c r="K20" i="2" s="1"/>
  <c r="H19" i="2"/>
  <c r="M19" i="2" s="1"/>
  <c r="H18" i="2"/>
  <c r="P19" i="2" s="1"/>
  <c r="H17" i="2"/>
  <c r="M17" i="2" s="1"/>
  <c r="R16" i="2"/>
  <c r="H16" i="2"/>
  <c r="M16" i="2" s="1"/>
  <c r="U15" i="2"/>
  <c r="T15" i="2"/>
  <c r="S15" i="2"/>
  <c r="K15" i="2"/>
  <c r="H15" i="2"/>
  <c r="J15" i="2" s="1"/>
  <c r="P14" i="2"/>
  <c r="R14" i="2" s="1"/>
  <c r="H14" i="2"/>
  <c r="M14" i="2" s="1"/>
  <c r="R13" i="2"/>
  <c r="H13" i="2"/>
  <c r="R12" i="2"/>
  <c r="I12" i="2"/>
  <c r="R11" i="2"/>
  <c r="H11" i="2"/>
  <c r="M11" i="2" s="1"/>
  <c r="P10" i="2"/>
  <c r="I8" i="2"/>
  <c r="H7" i="2"/>
  <c r="M7" i="2" s="1"/>
  <c r="H6" i="2"/>
  <c r="J6" i="2" s="1"/>
  <c r="K6" i="2" s="1"/>
  <c r="H5" i="2"/>
  <c r="J5" i="2" s="1"/>
  <c r="K5" i="2" s="1"/>
  <c r="H4" i="2"/>
  <c r="M4" i="2" s="1"/>
  <c r="H3" i="2"/>
  <c r="H8" i="1"/>
  <c r="P7" i="1" s="1"/>
  <c r="K8" i="1"/>
  <c r="R8" i="1"/>
  <c r="H9" i="1"/>
  <c r="J9" i="1" s="1"/>
  <c r="K9" i="1"/>
  <c r="R9" i="1"/>
  <c r="H10" i="1"/>
  <c r="M10" i="1" s="1"/>
  <c r="K10" i="1"/>
  <c r="H11" i="1"/>
  <c r="J11" i="1" s="1"/>
  <c r="K11" i="1"/>
  <c r="R11" i="1"/>
  <c r="H12" i="1"/>
  <c r="J12" i="1" s="1"/>
  <c r="K12" i="1" s="1"/>
  <c r="R12" i="1"/>
  <c r="I13" i="1"/>
  <c r="R15" i="1"/>
  <c r="H16" i="1"/>
  <c r="K16" i="1"/>
  <c r="M16" i="1"/>
  <c r="I17" i="1"/>
  <c r="H18" i="1"/>
  <c r="J18" i="1" s="1"/>
  <c r="K18" i="1" s="1"/>
  <c r="H19" i="1"/>
  <c r="M19" i="1" s="1"/>
  <c r="H20" i="1"/>
  <c r="M20" i="1" s="1"/>
  <c r="K20" i="1"/>
  <c r="H21" i="1"/>
  <c r="M21" i="1" s="1"/>
  <c r="H22" i="1"/>
  <c r="M22" i="1" s="1"/>
  <c r="H23" i="1"/>
  <c r="H24" i="1"/>
  <c r="R24" i="1"/>
  <c r="H25" i="1"/>
  <c r="P22" i="1" s="1"/>
  <c r="R22" i="1" s="1"/>
  <c r="M25" i="1"/>
  <c r="R25" i="1"/>
  <c r="I26" i="1"/>
  <c r="R26" i="1"/>
  <c r="R27" i="1"/>
  <c r="R28" i="1"/>
  <c r="H29" i="1"/>
  <c r="R29" i="1"/>
  <c r="H30" i="1"/>
  <c r="J30" i="1" s="1"/>
  <c r="K30" i="1" s="1"/>
  <c r="R30" i="1"/>
  <c r="I31" i="1"/>
  <c r="R31" i="1"/>
  <c r="R32" i="1"/>
  <c r="R33" i="1"/>
  <c r="R34" i="1"/>
  <c r="R35" i="1"/>
  <c r="H36" i="1"/>
  <c r="M36" i="1" s="1"/>
  <c r="R36" i="1"/>
  <c r="H37" i="1"/>
  <c r="R37" i="1"/>
  <c r="H38" i="1"/>
  <c r="M38" i="1" s="1"/>
  <c r="K38" i="1"/>
  <c r="R38" i="1"/>
  <c r="I39" i="1"/>
  <c r="P39" i="1"/>
  <c r="R39" i="1" s="1"/>
  <c r="R41" i="1"/>
  <c r="H42" i="1"/>
  <c r="J42" i="1" s="1"/>
  <c r="K42" i="1" s="1"/>
  <c r="R42" i="1"/>
  <c r="H43" i="1"/>
  <c r="M43" i="1" s="1"/>
  <c r="H44" i="1"/>
  <c r="M44" i="1" s="1"/>
  <c r="H45" i="1"/>
  <c r="M45" i="1" s="1"/>
  <c r="K45" i="1"/>
  <c r="H46" i="1"/>
  <c r="M46" i="1" s="1"/>
  <c r="J46" i="1"/>
  <c r="K46" i="1" s="1"/>
  <c r="R46" i="1"/>
  <c r="H47" i="1"/>
  <c r="R47" i="1"/>
  <c r="I48" i="1"/>
  <c r="R48" i="1"/>
  <c r="R49" i="1"/>
  <c r="H51" i="1"/>
  <c r="J51" i="1" s="1"/>
  <c r="K51" i="1"/>
  <c r="R51" i="1"/>
  <c r="I52" i="1"/>
  <c r="K52" i="1" s="1"/>
  <c r="P52" i="1"/>
  <c r="R53" i="1"/>
  <c r="R54" i="1"/>
  <c r="H55" i="1"/>
  <c r="J55" i="1" s="1"/>
  <c r="K55" i="1" s="1"/>
  <c r="P55" i="1"/>
  <c r="R55" i="1" s="1"/>
  <c r="H56" i="1"/>
  <c r="J56" i="1"/>
  <c r="K56" i="1"/>
  <c r="M56" i="1"/>
  <c r="R56" i="1"/>
  <c r="H57" i="1"/>
  <c r="J57" i="1" s="1"/>
  <c r="K57" i="1"/>
  <c r="P57" i="1"/>
  <c r="R57" i="1" s="1"/>
  <c r="I58" i="1"/>
  <c r="R58" i="1"/>
  <c r="P59" i="1"/>
  <c r="R59" i="1" s="1"/>
  <c r="H61" i="1"/>
  <c r="R61" i="1"/>
  <c r="R62" i="1"/>
  <c r="R63" i="1"/>
  <c r="R64" i="1"/>
  <c r="I65" i="1"/>
  <c r="R65" i="1"/>
  <c r="H66" i="1"/>
  <c r="J66" i="1"/>
  <c r="K66" i="1" s="1"/>
  <c r="M66" i="1"/>
  <c r="R66" i="1"/>
  <c r="H67" i="1"/>
  <c r="M67" i="1" s="1"/>
  <c r="K67" i="1"/>
  <c r="R67" i="1"/>
  <c r="R68" i="1"/>
  <c r="P69" i="1"/>
  <c r="R69" i="1" s="1"/>
  <c r="R70" i="1"/>
  <c r="P71" i="1"/>
  <c r="R72" i="1"/>
  <c r="H80" i="1"/>
  <c r="M80" i="1" s="1"/>
  <c r="J80" i="1"/>
  <c r="K80" i="1" s="1"/>
  <c r="H81" i="1"/>
  <c r="M81" i="1" s="1"/>
  <c r="J81" i="1"/>
  <c r="K81" i="1" s="1"/>
  <c r="H82" i="1"/>
  <c r="J82" i="1" s="1"/>
  <c r="K82" i="1" s="1"/>
  <c r="H83" i="1"/>
  <c r="M83" i="1" s="1"/>
  <c r="H84" i="1"/>
  <c r="J84" i="1" s="1"/>
  <c r="K84" i="1"/>
  <c r="H85" i="1"/>
  <c r="J85" i="1" s="1"/>
  <c r="K85" i="1"/>
  <c r="M85" i="1"/>
  <c r="H86" i="1"/>
  <c r="M86" i="1" s="1"/>
  <c r="J86" i="1"/>
  <c r="K86" i="1"/>
  <c r="H87" i="1"/>
  <c r="J87" i="1" s="1"/>
  <c r="K87" i="1"/>
  <c r="H88" i="1"/>
  <c r="J88" i="1" s="1"/>
  <c r="K88" i="1" s="1"/>
  <c r="I90" i="1"/>
  <c r="R92" i="1"/>
  <c r="H93" i="1"/>
  <c r="M93" i="1" s="1"/>
  <c r="K93" i="1"/>
  <c r="R93" i="1"/>
  <c r="H94" i="1"/>
  <c r="R94" i="1"/>
  <c r="H95" i="1"/>
  <c r="J95" i="1" s="1"/>
  <c r="K95" i="1" s="1"/>
  <c r="M95" i="1"/>
  <c r="R95" i="1"/>
  <c r="I96" i="1"/>
  <c r="R96" i="1"/>
  <c r="R97" i="1"/>
  <c r="H99" i="1"/>
  <c r="M99" i="1" s="1"/>
  <c r="J99" i="1"/>
  <c r="K99" i="1" s="1"/>
  <c r="H100" i="1"/>
  <c r="M100" i="1" s="1"/>
  <c r="K100" i="1"/>
  <c r="R100" i="1"/>
  <c r="H101" i="1"/>
  <c r="I101" i="1"/>
  <c r="R102" i="1"/>
  <c r="R103" i="1"/>
  <c r="H104" i="1"/>
  <c r="J104" i="1" s="1"/>
  <c r="K104" i="1"/>
  <c r="M104" i="1"/>
  <c r="R104" i="1"/>
  <c r="H105" i="1"/>
  <c r="J105" i="1" s="1"/>
  <c r="K105" i="1" s="1"/>
  <c r="R105" i="1"/>
  <c r="H106" i="1"/>
  <c r="M106" i="1" s="1"/>
  <c r="H107" i="1"/>
  <c r="M107" i="1" s="1"/>
  <c r="H108" i="1"/>
  <c r="M108" i="1" s="1"/>
  <c r="K108" i="1"/>
  <c r="R108" i="1"/>
  <c r="H109" i="1"/>
  <c r="M109" i="1" s="1"/>
  <c r="R109" i="1"/>
  <c r="H110" i="1"/>
  <c r="M110" i="1" s="1"/>
  <c r="J110" i="1"/>
  <c r="K110" i="1" s="1"/>
  <c r="R110" i="1"/>
  <c r="H111" i="1"/>
  <c r="J111" i="1"/>
  <c r="K111" i="1" s="1"/>
  <c r="M111" i="1"/>
  <c r="R111" i="1"/>
  <c r="H112" i="1"/>
  <c r="J112" i="1" s="1"/>
  <c r="K112" i="1" s="1"/>
  <c r="R112" i="1"/>
  <c r="H113" i="1"/>
  <c r="R113" i="1"/>
  <c r="I114" i="1"/>
  <c r="R114" i="1"/>
  <c r="R115" i="1"/>
  <c r="H116" i="1"/>
  <c r="P126" i="1" s="1"/>
  <c r="P116" i="1"/>
  <c r="R116" i="1" s="1"/>
  <c r="R117" i="1"/>
  <c r="R118" i="1"/>
  <c r="R119" i="1"/>
  <c r="I120" i="1"/>
  <c r="K120" i="1" s="1"/>
  <c r="J120" i="1"/>
  <c r="P120" i="1"/>
  <c r="R120" i="1" s="1"/>
  <c r="H121" i="1"/>
  <c r="J121" i="1" s="1"/>
  <c r="K121" i="1" s="1"/>
  <c r="R121" i="1"/>
  <c r="H122" i="1"/>
  <c r="J122" i="1" s="1"/>
  <c r="K122" i="1"/>
  <c r="P122" i="1"/>
  <c r="R122" i="1" s="1"/>
  <c r="P123" i="1"/>
  <c r="R123" i="1" s="1"/>
  <c r="P124" i="1"/>
  <c r="R124" i="1" s="1"/>
  <c r="J17" i="2" l="1"/>
  <c r="K17" i="2" s="1"/>
  <c r="H57" i="2"/>
  <c r="J57" i="2" s="1"/>
  <c r="M5" i="2"/>
  <c r="H12" i="2"/>
  <c r="M12" i="2" s="1"/>
  <c r="P57" i="2"/>
  <c r="R57" i="2" s="1"/>
  <c r="M20" i="2"/>
  <c r="M25" i="2"/>
  <c r="J26" i="2"/>
  <c r="M36" i="2"/>
  <c r="J35" i="2"/>
  <c r="K35" i="2" s="1"/>
  <c r="M42" i="2"/>
  <c r="M60" i="2"/>
  <c r="M18" i="2"/>
  <c r="M21" i="2"/>
  <c r="J23" i="2"/>
  <c r="K23" i="2" s="1"/>
  <c r="J37" i="2"/>
  <c r="K37" i="2" s="1"/>
  <c r="J40" i="2"/>
  <c r="K40" i="2" s="1"/>
  <c r="P34" i="2"/>
  <c r="R34" i="2" s="1"/>
  <c r="M6" i="2"/>
  <c r="M15" i="2"/>
  <c r="M27" i="2"/>
  <c r="H32" i="2"/>
  <c r="M32" i="2" s="1"/>
  <c r="M63" i="2"/>
  <c r="J19" i="2"/>
  <c r="K19" i="2" s="1"/>
  <c r="P15" i="2"/>
  <c r="R15" i="2" s="1"/>
  <c r="J7" i="2"/>
  <c r="K7" i="2" s="1"/>
  <c r="S36" i="2"/>
  <c r="S58" i="2" s="1"/>
  <c r="J33" i="2"/>
  <c r="H39" i="2"/>
  <c r="M39" i="2" s="1"/>
  <c r="R48" i="2"/>
  <c r="M49" i="2"/>
  <c r="P59" i="2"/>
  <c r="J60" i="2"/>
  <c r="M88" i="1"/>
  <c r="M84" i="1"/>
  <c r="M82" i="1"/>
  <c r="J67" i="1"/>
  <c r="J65" i="1" s="1"/>
  <c r="M55" i="1"/>
  <c r="J44" i="1"/>
  <c r="K44" i="1" s="1"/>
  <c r="J38" i="1"/>
  <c r="J36" i="1"/>
  <c r="K36" i="1" s="1"/>
  <c r="M18" i="1"/>
  <c r="M112" i="1"/>
  <c r="J109" i="1"/>
  <c r="K109" i="1" s="1"/>
  <c r="J106" i="1"/>
  <c r="K106" i="1" s="1"/>
  <c r="P98" i="1"/>
  <c r="R98" i="1" s="1"/>
  <c r="J93" i="1"/>
  <c r="M87" i="1"/>
  <c r="P73" i="1"/>
  <c r="R73" i="1" s="1"/>
  <c r="M57" i="1"/>
  <c r="J45" i="1"/>
  <c r="J43" i="1"/>
  <c r="K43" i="1" s="1"/>
  <c r="J25" i="1"/>
  <c r="K25" i="1" s="1"/>
  <c r="J10" i="1"/>
  <c r="M8" i="1"/>
  <c r="M30" i="1"/>
  <c r="H114" i="1"/>
  <c r="M114" i="1" s="1"/>
  <c r="J83" i="1"/>
  <c r="K83" i="1" s="1"/>
  <c r="H58" i="1"/>
  <c r="P44" i="1"/>
  <c r="R44" i="1" s="1"/>
  <c r="M13" i="2"/>
  <c r="J13" i="2"/>
  <c r="R19" i="2"/>
  <c r="J22" i="2"/>
  <c r="K22" i="2" s="1"/>
  <c r="H8" i="2"/>
  <c r="J3" i="2"/>
  <c r="K3" i="2" s="1"/>
  <c r="R21" i="2"/>
  <c r="H24" i="2"/>
  <c r="M28" i="2"/>
  <c r="J28" i="2"/>
  <c r="K28" i="2" s="1"/>
  <c r="M30" i="2"/>
  <c r="H29" i="2"/>
  <c r="J30" i="2"/>
  <c r="K30" i="2" s="1"/>
  <c r="J32" i="2"/>
  <c r="K32" i="2" s="1"/>
  <c r="P30" i="2"/>
  <c r="M38" i="2"/>
  <c r="M3" i="2"/>
  <c r="P18" i="2"/>
  <c r="J38" i="2"/>
  <c r="J14" i="2"/>
  <c r="K14" i="2" s="1"/>
  <c r="P20" i="2"/>
  <c r="U35" i="2"/>
  <c r="I43" i="2"/>
  <c r="I45" i="2" s="1"/>
  <c r="H52" i="2"/>
  <c r="M52" i="2" s="1"/>
  <c r="J4" i="2"/>
  <c r="K4" i="2" s="1"/>
  <c r="T36" i="2"/>
  <c r="J16" i="2"/>
  <c r="K16" i="2" s="1"/>
  <c r="P44" i="2"/>
  <c r="M50" i="2"/>
  <c r="J50" i="2"/>
  <c r="K50" i="2" s="1"/>
  <c r="J41" i="2"/>
  <c r="K41" i="2" s="1"/>
  <c r="T46" i="2"/>
  <c r="J48" i="2"/>
  <c r="J61" i="2"/>
  <c r="K61" i="2" s="1"/>
  <c r="J64" i="2"/>
  <c r="K64" i="2" s="1"/>
  <c r="J11" i="2"/>
  <c r="P17" i="2"/>
  <c r="J18" i="2"/>
  <c r="K18" i="2" s="1"/>
  <c r="J51" i="2"/>
  <c r="K51" i="2" s="1"/>
  <c r="J55" i="2"/>
  <c r="R10" i="2"/>
  <c r="P43" i="2"/>
  <c r="M48" i="2"/>
  <c r="R126" i="1"/>
  <c r="R71" i="1"/>
  <c r="P43" i="1"/>
  <c r="I59" i="1"/>
  <c r="M24" i="1"/>
  <c r="P21" i="1"/>
  <c r="R21" i="1" s="1"/>
  <c r="J24" i="1"/>
  <c r="K24" i="1" s="1"/>
  <c r="M23" i="1"/>
  <c r="P20" i="1"/>
  <c r="R20" i="1" s="1"/>
  <c r="J23" i="1"/>
  <c r="K23" i="1" s="1"/>
  <c r="M37" i="1"/>
  <c r="H39" i="1"/>
  <c r="P45" i="1"/>
  <c r="R45" i="1" s="1"/>
  <c r="J37" i="1"/>
  <c r="K37" i="1" s="1"/>
  <c r="M29" i="1"/>
  <c r="H31" i="1"/>
  <c r="J29" i="1"/>
  <c r="K29" i="1" s="1"/>
  <c r="P125" i="1"/>
  <c r="R125" i="1" s="1"/>
  <c r="J107" i="1"/>
  <c r="K107" i="1" s="1"/>
  <c r="M47" i="1"/>
  <c r="J47" i="1"/>
  <c r="K47" i="1" s="1"/>
  <c r="J116" i="1"/>
  <c r="K116" i="1" s="1"/>
  <c r="M116" i="1"/>
  <c r="J113" i="1"/>
  <c r="K113" i="1" s="1"/>
  <c r="M113" i="1"/>
  <c r="J108" i="1"/>
  <c r="J114" i="1" s="1"/>
  <c r="M101" i="1"/>
  <c r="J101" i="1"/>
  <c r="K101" i="1" s="1"/>
  <c r="M94" i="1"/>
  <c r="J94" i="1"/>
  <c r="K94" i="1" s="1"/>
  <c r="I118" i="1"/>
  <c r="M61" i="1"/>
  <c r="P76" i="1"/>
  <c r="R76" i="1" s="1"/>
  <c r="J61" i="1"/>
  <c r="K61" i="1" s="1"/>
  <c r="P60" i="1"/>
  <c r="R60" i="1" s="1"/>
  <c r="R52" i="1"/>
  <c r="R7" i="1"/>
  <c r="J100" i="1"/>
  <c r="H52" i="1"/>
  <c r="J22" i="1"/>
  <c r="K22" i="1" s="1"/>
  <c r="J21" i="1"/>
  <c r="K21" i="1" s="1"/>
  <c r="J20" i="1"/>
  <c r="J19" i="1"/>
  <c r="K19" i="1" s="1"/>
  <c r="H13" i="1"/>
  <c r="P10" i="1"/>
  <c r="R10" i="1" s="1"/>
  <c r="M9" i="1"/>
  <c r="J16" i="1"/>
  <c r="P13" i="1"/>
  <c r="R13" i="1" s="1"/>
  <c r="M11" i="1"/>
  <c r="J8" i="1"/>
  <c r="M105" i="1"/>
  <c r="M51" i="1"/>
  <c r="H48" i="1"/>
  <c r="M42" i="1"/>
  <c r="I32" i="1"/>
  <c r="H17" i="1"/>
  <c r="H26" i="1" s="1"/>
  <c r="M12" i="1"/>
  <c r="H96" i="1"/>
  <c r="P91" i="1"/>
  <c r="P19" i="1"/>
  <c r="R19" i="1" s="1"/>
  <c r="P18" i="1"/>
  <c r="R18" i="1" s="1"/>
  <c r="P17" i="1"/>
  <c r="R17" i="1" s="1"/>
  <c r="U36" i="2" l="1"/>
  <c r="U58" i="2" s="1"/>
  <c r="P31" i="2"/>
  <c r="R31" i="2" s="1"/>
  <c r="J39" i="2"/>
  <c r="K39" i="2" s="1"/>
  <c r="H43" i="2"/>
  <c r="M43" i="2" s="1"/>
  <c r="R59" i="2"/>
  <c r="M58" i="1"/>
  <c r="J58" i="1"/>
  <c r="K58" i="1" s="1"/>
  <c r="K114" i="1"/>
  <c r="P74" i="1"/>
  <c r="R74" i="1" s="1"/>
  <c r="S60" i="2"/>
  <c r="K13" i="2"/>
  <c r="K12" i="2" s="1"/>
  <c r="J12" i="2"/>
  <c r="R43" i="2"/>
  <c r="P39" i="2"/>
  <c r="K11" i="2"/>
  <c r="R20" i="2"/>
  <c r="M24" i="2"/>
  <c r="P27" i="2"/>
  <c r="J24" i="2"/>
  <c r="K24" i="2" s="1"/>
  <c r="R44" i="2"/>
  <c r="P28" i="2"/>
  <c r="M29" i="2"/>
  <c r="J29" i="2"/>
  <c r="K29" i="2" s="1"/>
  <c r="R18" i="2"/>
  <c r="J8" i="2"/>
  <c r="M8" i="2"/>
  <c r="R17" i="2"/>
  <c r="K48" i="2"/>
  <c r="K52" i="2" s="1"/>
  <c r="J52" i="2"/>
  <c r="T58" i="2"/>
  <c r="R30" i="2"/>
  <c r="M26" i="1"/>
  <c r="J26" i="1"/>
  <c r="K26" i="1" s="1"/>
  <c r="R91" i="1"/>
  <c r="I63" i="1"/>
  <c r="J13" i="1"/>
  <c r="K13" i="1" s="1"/>
  <c r="H32" i="1"/>
  <c r="M13" i="1"/>
  <c r="J52" i="1"/>
  <c r="M52" i="1"/>
  <c r="H59" i="1"/>
  <c r="M39" i="1"/>
  <c r="J39" i="1"/>
  <c r="K39" i="1" s="1"/>
  <c r="P50" i="1"/>
  <c r="R43" i="1"/>
  <c r="M48" i="1"/>
  <c r="J48" i="1"/>
  <c r="K48" i="1" s="1"/>
  <c r="P14" i="1"/>
  <c r="P106" i="1"/>
  <c r="M96" i="1"/>
  <c r="J96" i="1"/>
  <c r="K96" i="1" s="1"/>
  <c r="M31" i="1"/>
  <c r="J31" i="1"/>
  <c r="K31" i="1" s="1"/>
  <c r="P16" i="1"/>
  <c r="M17" i="1"/>
  <c r="J17" i="1"/>
  <c r="K17" i="1" s="1"/>
  <c r="H45" i="2" l="1"/>
  <c r="T60" i="2"/>
  <c r="U60" i="2"/>
  <c r="R28" i="2"/>
  <c r="J43" i="2"/>
  <c r="J45" i="2" s="1"/>
  <c r="M45" i="2"/>
  <c r="R27" i="2"/>
  <c r="P26" i="2"/>
  <c r="K43" i="2"/>
  <c r="P46" i="2"/>
  <c r="R46" i="2" s="1"/>
  <c r="R39" i="2"/>
  <c r="K8" i="2"/>
  <c r="M32" i="1"/>
  <c r="J32" i="1"/>
  <c r="K32" i="1" s="1"/>
  <c r="H63" i="1"/>
  <c r="P107" i="1"/>
  <c r="R106" i="1"/>
  <c r="R16" i="1"/>
  <c r="P23" i="1"/>
  <c r="R23" i="1" s="1"/>
  <c r="R14" i="1"/>
  <c r="R50" i="1"/>
  <c r="P75" i="1"/>
  <c r="R75" i="1" s="1"/>
  <c r="J59" i="1"/>
  <c r="K59" i="1" s="1"/>
  <c r="M59" i="1"/>
  <c r="K45" i="2" l="1"/>
  <c r="P40" i="1"/>
  <c r="R40" i="1" s="1"/>
  <c r="R26" i="2"/>
  <c r="P35" i="2"/>
  <c r="P77" i="1"/>
  <c r="M63" i="1"/>
  <c r="J63" i="1"/>
  <c r="K63" i="1" s="1"/>
  <c r="R107" i="1"/>
  <c r="R35" i="2" l="1"/>
  <c r="P36" i="2"/>
  <c r="R36" i="2" s="1"/>
  <c r="P58" i="2"/>
  <c r="H89" i="1"/>
  <c r="R77" i="1"/>
  <c r="P60" i="2" l="1"/>
  <c r="R60" i="2" s="1"/>
  <c r="R58" i="2"/>
  <c r="M89" i="1"/>
  <c r="P99" i="1"/>
  <c r="J89" i="1"/>
  <c r="K89" i="1" s="1"/>
  <c r="H90" i="1"/>
  <c r="R99" i="1" l="1"/>
  <c r="P101" i="1"/>
  <c r="M90" i="1"/>
  <c r="H118" i="1"/>
  <c r="J90" i="1"/>
  <c r="P1" i="2" l="1"/>
  <c r="J118" i="1"/>
  <c r="K90" i="1"/>
  <c r="K118" i="1" s="1"/>
  <c r="M118" i="1"/>
  <c r="H124" i="1"/>
  <c r="R101" i="1"/>
  <c r="P127" i="1"/>
  <c r="R127" i="1" l="1"/>
  <c r="P128" i="1"/>
</calcChain>
</file>

<file path=xl/sharedStrings.xml><?xml version="1.0" encoding="utf-8"?>
<sst xmlns="http://schemas.openxmlformats.org/spreadsheetml/2006/main" count="519" uniqueCount="409">
  <si>
    <t xml:space="preserve">21) UTILE (PERDITA) DELL’ESERCIZIO    </t>
  </si>
  <si>
    <t>20) imposte sul reddito dell’esercizio, correnti, differite e anticipate</t>
  </si>
  <si>
    <t>RISULTATO PRIMA DELLE IMPOSTE (A – B +/- C +/- D )</t>
  </si>
  <si>
    <t>Totale delle rettifiche (18-19)</t>
  </si>
  <si>
    <t xml:space="preserve">c) di titoli iscritti all’attivo circolante </t>
  </si>
  <si>
    <t xml:space="preserve">b) di immobilizzazioni finanziarie </t>
  </si>
  <si>
    <t>a) di partecipazioni</t>
  </si>
  <si>
    <t>19) - svalutazioni:</t>
  </si>
  <si>
    <t xml:space="preserve"> d) di strumenti finanziari derivati</t>
  </si>
  <si>
    <t xml:space="preserve"> c) di titoli iscritti all’attivo circolante che non costituiscono partecipazioni</t>
  </si>
  <si>
    <t xml:space="preserve"> b) di immobilizzazioni finanziarie che non costituiscono partecipazioni</t>
  </si>
  <si>
    <t xml:space="preserve"> a) di partecipazioni</t>
  </si>
  <si>
    <t>18) rivalutazioni:</t>
  </si>
  <si>
    <t>D) RETTIFICHE DI VALORE DI ATTIVITA’ FINANZIARIA:</t>
  </si>
  <si>
    <t>Totale</t>
  </si>
  <si>
    <t>17 bis) utili e perdite su cambi</t>
  </si>
  <si>
    <t>17) interessi e altri oneri finanziari</t>
  </si>
  <si>
    <t xml:space="preserve"> d) proventi diversi dai precedenti</t>
  </si>
  <si>
    <t xml:space="preserve"> c) da titoli iscritti nell’attivo circolante che non costituiscono partecipazione</t>
  </si>
  <si>
    <t xml:space="preserve"> b) da titoli iscritti nelle immobilizzazioni che non costituiscono partecipazione</t>
  </si>
  <si>
    <t xml:space="preserve"> a) da crediti iscritti nelle immobilizzazioni </t>
  </si>
  <si>
    <t>16) altri proventi finanziari:</t>
  </si>
  <si>
    <t xml:space="preserve">15) proventi da partecipazione;         </t>
  </si>
  <si>
    <t>C) PROVENTI E ONERI FINANZIARI:</t>
  </si>
  <si>
    <t>DIFFERENZA TRA VALORI E COSTI DELLA PRODUZIONE (A-B)</t>
  </si>
  <si>
    <t>14) oneri diversi di gestione.</t>
  </si>
  <si>
    <t>13) altri accantonamenti;</t>
  </si>
  <si>
    <t>12) accantonamenti per rischi;</t>
  </si>
  <si>
    <t>11) variazioni delle rimanenze di materie prime, sussidiarie, di consumo e merci</t>
  </si>
  <si>
    <t xml:space="preserve"> d) svalutazione dei crediti compresi nell'attivo circolante e delle disponibilità liquide;</t>
  </si>
  <si>
    <t xml:space="preserve"> c) altre svalutazioni delle immobilizzazioni;</t>
  </si>
  <si>
    <t xml:space="preserve"> b) ammortamento delle immobilizzazioni materiali;</t>
  </si>
  <si>
    <t xml:space="preserve"> a) ammortamento delle immobilizzazioni immateriali;</t>
  </si>
  <si>
    <t>10) ammortamenti e svalutazioni:</t>
  </si>
  <si>
    <t xml:space="preserve"> e) altri costi;</t>
  </si>
  <si>
    <t xml:space="preserve"> d) trattamento di quiescenza e simili;</t>
  </si>
  <si>
    <t xml:space="preserve"> c) trattamento di fine rapporto;</t>
  </si>
  <si>
    <t xml:space="preserve"> b) oneri sociali;</t>
  </si>
  <si>
    <t xml:space="preserve"> a) salari e stipendi;</t>
  </si>
  <si>
    <t>9) per il personale:</t>
  </si>
  <si>
    <t>8) per godimento di beni di terzi;</t>
  </si>
  <si>
    <t>7) per servizi;</t>
  </si>
  <si>
    <t>6) per materie prime, sussidiarie, di consumo e di merci;</t>
  </si>
  <si>
    <t>B) COSTI DELLA PRODUZIONE:</t>
  </si>
  <si>
    <t xml:space="preserve">Totale </t>
  </si>
  <si>
    <t>5) altri ricavi e proventi, con separata indicazione dei contributi in conto esercizio</t>
  </si>
  <si>
    <t>4) incrementi di immobilizzazioni per lavori interni;</t>
  </si>
  <si>
    <t>3) variazioni dei lavori in corso su ordinazione;</t>
  </si>
  <si>
    <t>2) variazioni delle rimanenze di prodotti in corso di lavorazione, semilavorati e finiti;</t>
  </si>
  <si>
    <t>1) ricavi delle vendite e delle prestazioni;</t>
  </si>
  <si>
    <t>F</t>
  </si>
  <si>
    <t>A) VALORE DELLA PRODUZIONE:</t>
  </si>
  <si>
    <t>CONTO ECONOMICO</t>
  </si>
  <si>
    <t>sopravvenienze e insussistenze</t>
  </si>
  <si>
    <t>concorsi, recuperi, rimborsi per attività non tipiche</t>
  </si>
  <si>
    <t>accantonamenti non tipici dell'attività sanitaria</t>
  </si>
  <si>
    <t>E 5</t>
  </si>
  <si>
    <t>plusvalenze</t>
  </si>
  <si>
    <t>E 4</t>
  </si>
  <si>
    <t>minusvalenze</t>
  </si>
  <si>
    <t>E 3</t>
  </si>
  <si>
    <t>Proventi e oneri straordinari</t>
  </si>
  <si>
    <t>E</t>
  </si>
  <si>
    <t>E 2</t>
  </si>
  <si>
    <t>E 1</t>
  </si>
  <si>
    <t>Totale (D)</t>
  </si>
  <si>
    <t>svalutazioni</t>
  </si>
  <si>
    <t xml:space="preserve">rivalutazioni </t>
  </si>
  <si>
    <t>Rettifiche di valore di attività finanziarie</t>
  </si>
  <si>
    <t>D</t>
  </si>
  <si>
    <t>D 2</t>
  </si>
  <si>
    <t>D 1</t>
  </si>
  <si>
    <t>Totale (C)</t>
  </si>
  <si>
    <t>altri oneri</t>
  </si>
  <si>
    <t>interessi passivi</t>
  </si>
  <si>
    <t>altri proventi</t>
  </si>
  <si>
    <t>C 4</t>
  </si>
  <si>
    <t>interessi attivi</t>
  </si>
  <si>
    <t>C 3</t>
  </si>
  <si>
    <t>Proventi e oneri finanziari</t>
  </si>
  <si>
    <t>C</t>
  </si>
  <si>
    <t>C 2</t>
  </si>
  <si>
    <t>C 1</t>
  </si>
  <si>
    <t>Differenza tra valore e costi della produzione (A-B)</t>
  </si>
  <si>
    <t>Totale (B)</t>
  </si>
  <si>
    <t>accantonamenti tipici dell'esercizio</t>
  </si>
  <si>
    <t>non sanitarie</t>
  </si>
  <si>
    <t>b)</t>
  </si>
  <si>
    <t>sanitarie</t>
  </si>
  <si>
    <t>a)</t>
  </si>
  <si>
    <t>B 15</t>
  </si>
  <si>
    <t>variazione delle rimanenze</t>
  </si>
  <si>
    <t>B 14b</t>
  </si>
  <si>
    <t>svalutazione crediti</t>
  </si>
  <si>
    <t>B 14a</t>
  </si>
  <si>
    <t>altri beni</t>
  </si>
  <si>
    <t>e)</t>
  </si>
  <si>
    <t>B 14</t>
  </si>
  <si>
    <t>automezzi</t>
  </si>
  <si>
    <t>d)</t>
  </si>
  <si>
    <t>B 13</t>
  </si>
  <si>
    <t xml:space="preserve">mobili e arredi </t>
  </si>
  <si>
    <t>c)</t>
  </si>
  <si>
    <t>B 12e</t>
  </si>
  <si>
    <t>attrezzature sanitarie e scientifiche</t>
  </si>
  <si>
    <t>B 12d</t>
  </si>
  <si>
    <t>impianti e macchinari</t>
  </si>
  <si>
    <t>B 12c</t>
  </si>
  <si>
    <t>ammortamenti delle altre immobilizzazioni</t>
  </si>
  <si>
    <t>B 12b</t>
  </si>
  <si>
    <t>indisponibili</t>
  </si>
  <si>
    <t>B 12a</t>
  </si>
  <si>
    <t>disponibili</t>
  </si>
  <si>
    <t>ammortamenti dei fabbricati</t>
  </si>
  <si>
    <t>B 11b</t>
  </si>
  <si>
    <t>altre</t>
  </si>
  <si>
    <t>B 11a</t>
  </si>
  <si>
    <t>diritti brevetti e diritti utilizzazione di opere d'ingegno</t>
  </si>
  <si>
    <t>costi di ricerca, sviluppo, promozione e informazione</t>
  </si>
  <si>
    <t>B 10d</t>
  </si>
  <si>
    <t>costi di impianto e di ampliamento</t>
  </si>
  <si>
    <t>B 10c</t>
  </si>
  <si>
    <t>ammortamenti delle immobilizzazioni immateriali</t>
  </si>
  <si>
    <t>B 10b</t>
  </si>
  <si>
    <t>oneri diversi di gestione</t>
  </si>
  <si>
    <t>B 10a</t>
  </si>
  <si>
    <t>personale amministrativo</t>
  </si>
  <si>
    <t>personale tecnico</t>
  </si>
  <si>
    <t>B 9</t>
  </si>
  <si>
    <t>personale professionale</t>
  </si>
  <si>
    <t>B 8</t>
  </si>
  <si>
    <t>personale sanitario</t>
  </si>
  <si>
    <t>B 7</t>
  </si>
  <si>
    <t>godimento di beni di terzi</t>
  </si>
  <si>
    <t>B 6</t>
  </si>
  <si>
    <t>manutenzione e riparazione</t>
  </si>
  <si>
    <t>B 5</t>
  </si>
  <si>
    <t>prestazioni non sanitarie da privato</t>
  </si>
  <si>
    <t>B 4</t>
  </si>
  <si>
    <t>prestazioni non sanitarie da pubblico</t>
  </si>
  <si>
    <t>B 3</t>
  </si>
  <si>
    <t>prestazioni sanitarie da privato</t>
  </si>
  <si>
    <t>B 2d</t>
  </si>
  <si>
    <t>prestazioni sanitarie da pubblico</t>
  </si>
  <si>
    <t>B 2c</t>
  </si>
  <si>
    <t>acquisti di servizi</t>
  </si>
  <si>
    <t>B 2b</t>
  </si>
  <si>
    <t>acquisti di beni</t>
  </si>
  <si>
    <t>B 2a</t>
  </si>
  <si>
    <t>Costi della Produzione</t>
  </si>
  <si>
    <t>B</t>
  </si>
  <si>
    <t>B 1</t>
  </si>
  <si>
    <t>differenze</t>
  </si>
  <si>
    <t>Totale (A)</t>
  </si>
  <si>
    <t>costi capitalizzati</t>
  </si>
  <si>
    <t>5)</t>
  </si>
  <si>
    <t>compartecipazione alla spesa per prestazioni sanitarie</t>
  </si>
  <si>
    <t>4)</t>
  </si>
  <si>
    <t>concorsi, recuperi, rimborsi per attività tipiche</t>
  </si>
  <si>
    <t>3)</t>
  </si>
  <si>
    <t>A 5</t>
  </si>
  <si>
    <t>proventi e ricavi diversi</t>
  </si>
  <si>
    <t>2)</t>
  </si>
  <si>
    <t>A 4</t>
  </si>
  <si>
    <t>contributi in c/esercizio</t>
  </si>
  <si>
    <t>1)</t>
  </si>
  <si>
    <t>A 3</t>
  </si>
  <si>
    <t>Valore della Produzione</t>
  </si>
  <si>
    <t>A</t>
  </si>
  <si>
    <t>A 2</t>
  </si>
  <si>
    <t>Variaz. %</t>
  </si>
  <si>
    <t>Variazione</t>
  </si>
  <si>
    <t>A 1</t>
  </si>
  <si>
    <t>TOTALE PASSIVO E NETTO</t>
  </si>
  <si>
    <t xml:space="preserve"> </t>
  </si>
  <si>
    <t>CONTO ECONOMICO (Valori in Euro)</t>
  </si>
  <si>
    <t xml:space="preserve">E) RATEI E RISCONTI </t>
  </si>
  <si>
    <t xml:space="preserve">  14) altri debiti</t>
  </si>
  <si>
    <t xml:space="preserve">  13) debiti vs.istituti di previdenza e di sicurezza sociale</t>
  </si>
  <si>
    <t xml:space="preserve">  12) debiti tributari</t>
  </si>
  <si>
    <t>depositi cauzionali</t>
  </si>
  <si>
    <t>F  2</t>
  </si>
  <si>
    <t xml:space="preserve">  11 bis) debiti verso imprese sottoposte al controllo delle controllanti</t>
  </si>
  <si>
    <t>canoni leasing ancora da pagare</t>
  </si>
  <si>
    <t>F  1</t>
  </si>
  <si>
    <t xml:space="preserve">  11) debiti verso imprese controllanti</t>
  </si>
  <si>
    <t>Conti d'ordine</t>
  </si>
  <si>
    <t xml:space="preserve">  10) debiti verso imprese collegate</t>
  </si>
  <si>
    <t xml:space="preserve">   9) debiti verso imprese controllate</t>
  </si>
  <si>
    <t>TOTALE PASSIVO</t>
  </si>
  <si>
    <t xml:space="preserve">   8) debiti rappresentati da titoli di credito </t>
  </si>
  <si>
    <t xml:space="preserve">   7) debiti verso fornitori</t>
  </si>
  <si>
    <t>Ratei e risconti</t>
  </si>
  <si>
    <t xml:space="preserve">   6) acconti</t>
  </si>
  <si>
    <t xml:space="preserve">   5) debiti verso altri finanziatori</t>
  </si>
  <si>
    <t xml:space="preserve">   4) debiti verso banche</t>
  </si>
  <si>
    <t>altri debiti</t>
  </si>
  <si>
    <t>D10</t>
  </si>
  <si>
    <t xml:space="preserve">   3) debiti verso soci per finanziamenti</t>
  </si>
  <si>
    <t>debiti verso istituti di previdenza e di sicurezza sociale</t>
  </si>
  <si>
    <t>D9</t>
  </si>
  <si>
    <t xml:space="preserve">   2) obbligazioni convertibili</t>
  </si>
  <si>
    <t>debiti tributari</t>
  </si>
  <si>
    <t>D8</t>
  </si>
  <si>
    <t xml:space="preserve">   1) obbligazioni</t>
  </si>
  <si>
    <t>debiti verso istituto tesoriere</t>
  </si>
  <si>
    <t>D7</t>
  </si>
  <si>
    <t>D)  DEBITI</t>
  </si>
  <si>
    <t>debiti verso fornitori</t>
  </si>
  <si>
    <t>D6</t>
  </si>
  <si>
    <t>C)  TRATTAMENTO DI FINE RAPPORTO DI LAVORO SUBORDINATO</t>
  </si>
  <si>
    <t>ARPA</t>
  </si>
  <si>
    <t>D5</t>
  </si>
  <si>
    <t>aziende sanitarie pubbliche</t>
  </si>
  <si>
    <t>D4</t>
  </si>
  <si>
    <t xml:space="preserve">    4) altri </t>
  </si>
  <si>
    <t>comune</t>
  </si>
  <si>
    <t>D3</t>
  </si>
  <si>
    <t xml:space="preserve">    3) strumenti finanziari derivati passivi</t>
  </si>
  <si>
    <t>regione e prov. autonoma</t>
  </si>
  <si>
    <t>D2</t>
  </si>
  <si>
    <t xml:space="preserve">    2) fondi per imposte, anche differite;</t>
  </si>
  <si>
    <t>mutui</t>
  </si>
  <si>
    <t>D1</t>
  </si>
  <si>
    <t xml:space="preserve">    1) fondi trattam.quiescenza e obbighi simili;</t>
  </si>
  <si>
    <t>Debiti</t>
  </si>
  <si>
    <t>B)  FONDI PER RISCHI E ONERI</t>
  </si>
  <si>
    <t>X. Riserva negativa per azioni proprie in portafolgio</t>
  </si>
  <si>
    <t>trattamento di fine rapporto</t>
  </si>
  <si>
    <t>C2</t>
  </si>
  <si>
    <t>IX. Utile dell'esercizio</t>
  </si>
  <si>
    <t>premio di operosità medici SUMAI</t>
  </si>
  <si>
    <t>C1</t>
  </si>
  <si>
    <t>VIII. Utili (Perdite) portati a nuovo</t>
  </si>
  <si>
    <t>Trattamento fine rapporto</t>
  </si>
  <si>
    <t>VII. Riserve per operazioni di copertura dei flussi finanziari attesi</t>
  </si>
  <si>
    <t>VI. Altre riserve, distintamente indicate</t>
  </si>
  <si>
    <t>V. Riserve statutarie</t>
  </si>
  <si>
    <t xml:space="preserve">altri </t>
  </si>
  <si>
    <t>B3</t>
  </si>
  <si>
    <t>IV. Riserva legale</t>
  </si>
  <si>
    <t>per rischi</t>
  </si>
  <si>
    <t>B2</t>
  </si>
  <si>
    <t>III. Riserve di rivalutazione</t>
  </si>
  <si>
    <t xml:space="preserve">per imposte </t>
  </si>
  <si>
    <t>B1</t>
  </si>
  <si>
    <t>II. Riserva da soprapprezzo delle azioni</t>
  </si>
  <si>
    <t>Fondi per rischi ed oneri</t>
  </si>
  <si>
    <t>I. Capitale sociale (Fondo di dotazione)</t>
  </si>
  <si>
    <t>A) PATRIMONIO NETTO:</t>
  </si>
  <si>
    <t>STATO PATRIMONIALE - PASSIVO</t>
  </si>
  <si>
    <t>Utile (Perdita) dell'esercizio</t>
  </si>
  <si>
    <t>VI.</t>
  </si>
  <si>
    <t>AVI</t>
  </si>
  <si>
    <t>Utili (Perdite) portati a nuovo</t>
  </si>
  <si>
    <t>V.</t>
  </si>
  <si>
    <t>AV</t>
  </si>
  <si>
    <t>anno 2000</t>
  </si>
  <si>
    <t>AIVd</t>
  </si>
  <si>
    <t>anno 1999</t>
  </si>
  <si>
    <t>AIVc</t>
  </si>
  <si>
    <t>anno 1998</t>
  </si>
  <si>
    <t>AIVb</t>
  </si>
  <si>
    <t>anno 1997</t>
  </si>
  <si>
    <t>AIVa</t>
  </si>
  <si>
    <t>Contributi per ripiano perdite</t>
  </si>
  <si>
    <t>IV.</t>
  </si>
  <si>
    <t>AIV</t>
  </si>
  <si>
    <t xml:space="preserve">Fondo di dotazione </t>
  </si>
  <si>
    <t>III.</t>
  </si>
  <si>
    <t>AIII</t>
  </si>
  <si>
    <t>Donazioni e lasciti vincolati ad investimenti</t>
  </si>
  <si>
    <t>II.</t>
  </si>
  <si>
    <t>AII</t>
  </si>
  <si>
    <t>Finanziamenti per investimenti</t>
  </si>
  <si>
    <t>I.</t>
  </si>
  <si>
    <t>AI</t>
  </si>
  <si>
    <t>Patrimonio Netto</t>
  </si>
  <si>
    <t>TOTALE ATTIVO</t>
  </si>
  <si>
    <t>PASSIVO</t>
  </si>
  <si>
    <t xml:space="preserve">D) RATEI E RISCONTI </t>
  </si>
  <si>
    <t>TOTALE ATTIVO CIRCOLANTE (C)</t>
  </si>
  <si>
    <t>STATO PATRIMONIALE (Valori in Euro)</t>
  </si>
  <si>
    <t xml:space="preserve">   3) denaro e valori in cassa</t>
  </si>
  <si>
    <t xml:space="preserve">   2) assegni</t>
  </si>
  <si>
    <t xml:space="preserve">   1) depositi bancari e postali</t>
  </si>
  <si>
    <t>IV. Disponibilità liquide</t>
  </si>
  <si>
    <t xml:space="preserve">   6) altri titoli</t>
  </si>
  <si>
    <t xml:space="preserve">   5) strumenti finanziari derivati attivi</t>
  </si>
  <si>
    <t>D  2</t>
  </si>
  <si>
    <t xml:space="preserve">   4 ) altre partecipazioni </t>
  </si>
  <si>
    <t>D  1</t>
  </si>
  <si>
    <t xml:space="preserve">   3 bis) partecipazioni in imprese sottoposte al controllo delle controllanti</t>
  </si>
  <si>
    <t xml:space="preserve">   3) partecipazioni in imprese controllanti</t>
  </si>
  <si>
    <t xml:space="preserve">   2) partecipazioni in imprese collegate</t>
  </si>
  <si>
    <t xml:space="preserve">   1) partecipazioni in imprese controllate</t>
  </si>
  <si>
    <t>III. Attività finanziarie che non costituiscono immobilizzazioni:</t>
  </si>
  <si>
    <t xml:space="preserve">   5 quater) verso altri </t>
  </si>
  <si>
    <t>Totale attivo circolante (B)</t>
  </si>
  <si>
    <t xml:space="preserve">   5 ter) imposte anticipate</t>
  </si>
  <si>
    <t>Totale IV</t>
  </si>
  <si>
    <t xml:space="preserve">   5 bis) crediti tributari</t>
  </si>
  <si>
    <t>c/c postali</t>
  </si>
  <si>
    <t>BIV 3</t>
  </si>
  <si>
    <t xml:space="preserve">   5) verso imprese sottoposte al controllo delle controllanti</t>
  </si>
  <si>
    <t>istituto tesoriere</t>
  </si>
  <si>
    <t>BIV 2</t>
  </si>
  <si>
    <t xml:space="preserve">   4) verso controllanti</t>
  </si>
  <si>
    <t>cassa</t>
  </si>
  <si>
    <t>BIV 1</t>
  </si>
  <si>
    <t xml:space="preserve">   3) verso imprese collegate</t>
  </si>
  <si>
    <t>Disponibilità liquide</t>
  </si>
  <si>
    <t xml:space="preserve">   2) verso imprese controllate</t>
  </si>
  <si>
    <t xml:space="preserve">   1) verso clienti</t>
  </si>
  <si>
    <t>Totale III</t>
  </si>
  <si>
    <t>II. Crediti</t>
  </si>
  <si>
    <t>titoli a breve</t>
  </si>
  <si>
    <t>BIII 1</t>
  </si>
  <si>
    <t>Attività finanziarie</t>
  </si>
  <si>
    <t xml:space="preserve">   5) acconti</t>
  </si>
  <si>
    <t xml:space="preserve">   4) prodotti finiti e merci</t>
  </si>
  <si>
    <t>Totale II</t>
  </si>
  <si>
    <t xml:space="preserve">   3) lavori in corso su ordinazione</t>
  </si>
  <si>
    <t>altri</t>
  </si>
  <si>
    <t>BII 6</t>
  </si>
  <si>
    <t xml:space="preserve">   2) prodotti in corso di lavorazione e semilavorati</t>
  </si>
  <si>
    <t>erario</t>
  </si>
  <si>
    <t>BII 5</t>
  </si>
  <si>
    <t xml:space="preserve">   1 b) non sanitarie</t>
  </si>
  <si>
    <t>BII 4</t>
  </si>
  <si>
    <t xml:space="preserve">   1 a) sanitarie</t>
  </si>
  <si>
    <t>BII 3</t>
  </si>
  <si>
    <t xml:space="preserve">   1) materie prime, sussidiarie e di consumo</t>
  </si>
  <si>
    <t>BII 2</t>
  </si>
  <si>
    <t>I. Rimanenze</t>
  </si>
  <si>
    <t>BII 1</t>
  </si>
  <si>
    <t>C) ATTIVO CIRCOLANTE</t>
  </si>
  <si>
    <t>Crediti da</t>
  </si>
  <si>
    <t>TOTALE DELLE IMMOBILIZZAZIONI (B)</t>
  </si>
  <si>
    <t>Totale immobilizzazioni finanziarie</t>
  </si>
  <si>
    <t>Totale I</t>
  </si>
  <si>
    <t xml:space="preserve">   4) strumenti finanziari derivati attivi</t>
  </si>
  <si>
    <t>acconti</t>
  </si>
  <si>
    <t>BI 3</t>
  </si>
  <si>
    <t xml:space="preserve">   3) altri titoli (al netto dei relativi fondi svalutazione)</t>
  </si>
  <si>
    <t>BI 2</t>
  </si>
  <si>
    <t xml:space="preserve">  d bis) verso Altri </t>
  </si>
  <si>
    <t>BI 1</t>
  </si>
  <si>
    <t xml:space="preserve">  d) verso imprese sottoposte al controllo delle controllanti</t>
  </si>
  <si>
    <t>Rimanenze</t>
  </si>
  <si>
    <t xml:space="preserve">  c) verso controllanti</t>
  </si>
  <si>
    <t>Attivo circolante</t>
  </si>
  <si>
    <t xml:space="preserve">  b) verso collegate</t>
  </si>
  <si>
    <t xml:space="preserve">  a)  verso controllate</t>
  </si>
  <si>
    <t>Totale immobilizzazioni (A)</t>
  </si>
  <si>
    <t xml:space="preserve">   2) Crediti     </t>
  </si>
  <si>
    <t xml:space="preserve">  d bis) altre imprese </t>
  </si>
  <si>
    <t xml:space="preserve">titoli </t>
  </si>
  <si>
    <t>AIII 2</t>
  </si>
  <si>
    <t xml:space="preserve">crediti </t>
  </si>
  <si>
    <t>AIII 1</t>
  </si>
  <si>
    <t xml:space="preserve">  c)  imprese controllanti</t>
  </si>
  <si>
    <t>Immobilizzazioni finanziarie</t>
  </si>
  <si>
    <t xml:space="preserve">  b)  imprese collegate</t>
  </si>
  <si>
    <t xml:space="preserve">  a)  imprese controllate</t>
  </si>
  <si>
    <t xml:space="preserve">   1) Partecipazioni in:</t>
  </si>
  <si>
    <t>immobilizzazioni in corso e acconti</t>
  </si>
  <si>
    <t>AII 8</t>
  </si>
  <si>
    <t>III. Finanziarie  con separata indicazione, per ciascuna voce dei crediti, degli importi esigibili entro esercizio successivo</t>
  </si>
  <si>
    <t>AII 7</t>
  </si>
  <si>
    <t>Totale immobilizzazioni materiali</t>
  </si>
  <si>
    <t>AII 6</t>
  </si>
  <si>
    <t xml:space="preserve">   7) immobilzzazioni in corso e acconti</t>
  </si>
  <si>
    <t>AII 5</t>
  </si>
  <si>
    <t xml:space="preserve">   6) altri beni</t>
  </si>
  <si>
    <t>AII 4</t>
  </si>
  <si>
    <t xml:space="preserve">   5) automezzi</t>
  </si>
  <si>
    <t>AII 3</t>
  </si>
  <si>
    <t xml:space="preserve">   4) mobili e arredi</t>
  </si>
  <si>
    <t>AII 2b</t>
  </si>
  <si>
    <t xml:space="preserve">   3) attrezzature scientifiche e di laboratorio</t>
  </si>
  <si>
    <t>AII 2a</t>
  </si>
  <si>
    <t xml:space="preserve">   2) impianti e macchinario</t>
  </si>
  <si>
    <t>fabbricati</t>
  </si>
  <si>
    <t xml:space="preserve">   1) terreni e fabbricati</t>
  </si>
  <si>
    <t>terreni</t>
  </si>
  <si>
    <t>AII 1</t>
  </si>
  <si>
    <t>II. Materiali</t>
  </si>
  <si>
    <t>Immobilizzazioni materiali</t>
  </si>
  <si>
    <t>Totale immobilizzazioni immateriali</t>
  </si>
  <si>
    <t xml:space="preserve">   7) altre</t>
  </si>
  <si>
    <t xml:space="preserve">   6) immobilizzazioni in corso e acconti</t>
  </si>
  <si>
    <t>AI 5</t>
  </si>
  <si>
    <t xml:space="preserve">   5) avviamento</t>
  </si>
  <si>
    <t>AI 4</t>
  </si>
  <si>
    <t xml:space="preserve">   4) concessioni, licenze, marchi e diritti simili</t>
  </si>
  <si>
    <t>AI 3</t>
  </si>
  <si>
    <t xml:space="preserve">   3) diritti di brevetto industriale e diritti di utilizzazione delle opere dell’ingegno</t>
  </si>
  <si>
    <t>AI 2</t>
  </si>
  <si>
    <t xml:space="preserve">   2) costi di ricerca, di sviluppo e di pubblicità</t>
  </si>
  <si>
    <t>AI 1</t>
  </si>
  <si>
    <t xml:space="preserve">   1) costi di impianto e di ampliamento</t>
  </si>
  <si>
    <t>Immobilizzazioni immateriali</t>
  </si>
  <si>
    <t>I. Immateriali</t>
  </si>
  <si>
    <t>Immobilizzazioni</t>
  </si>
  <si>
    <t>B)    IMMOBILIZZAZIONI</t>
  </si>
  <si>
    <t>A) CREDITI V/ SOCI per i versamenti ancora dovuti, con separata indicazione della parte già richiamata</t>
  </si>
  <si>
    <t>ATTIVO</t>
  </si>
  <si>
    <t>STATO PATRIMONIALE - ATTIVO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</si>
</sst>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_-;\-* #,##0_-;_-* &quot;-&quot;_-;_-@_-"/>
    <numFmt numFmtId="166" formatCode="_-* #,##0_-;\-* #,##0_-;_-* &quot;-&quot;??_-;_-@_-"/>
    <numFmt numFmtId="167" formatCode="0_ ;[Red]\-0\ "/>
    <numFmt numFmtId="168" formatCode="#,##0;\ \(#,##0\)"/>
    <numFmt numFmtId="169" formatCode="_-* #,##0.00_-;\-* #,##0.00_-;_-* &quot;-&quot;_-;_-@_-"/>
    <numFmt numFmtId="170" formatCode="0\)"/>
  </numFmts>
  <fonts count="23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i/>
      <sz val="9"/>
      <name val="Tahoma"/>
      <family val="2"/>
    </font>
    <font>
      <i/>
      <sz val="10"/>
      <name val="Tahoma"/>
      <family val="2"/>
    </font>
    <font>
      <sz val="9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name val="Tahoma"/>
      <family val="2"/>
    </font>
    <font>
      <b/>
      <sz val="12"/>
      <name val="Times New Roman"/>
      <family val="1"/>
    </font>
    <font>
      <i/>
      <sz val="8"/>
      <name val="Times New Roman"/>
      <family val="1"/>
    </font>
    <font>
      <i/>
      <sz val="9"/>
      <name val="Times New Roman"/>
      <family val="1"/>
    </font>
    <font>
      <sz val="8"/>
      <name val="Times New Roman"/>
      <family val="1"/>
    </font>
    <font>
      <i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9"/>
      <name val="Times New Roman"/>
      <family val="1"/>
    </font>
    <font>
      <b/>
      <sz val="9"/>
      <name val="Tahoma"/>
      <family val="2"/>
    </font>
    <font>
      <b/>
      <i/>
      <sz val="9"/>
      <name val="Tahoma"/>
      <family val="2"/>
    </font>
    <font>
      <sz val="9"/>
      <name val="Tahoma"/>
      <family val="2"/>
    </font>
    <font>
      <sz val="9"/>
      <color indexed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290">
    <xf numFmtId="0" fontId="0" fillId="0" borderId="0" xfId="0"/>
    <xf numFmtId="0" fontId="1" fillId="0" borderId="0" xfId="0" applyFont="1" applyFill="1"/>
    <xf numFmtId="164" fontId="1" fillId="0" borderId="0" xfId="1" applyNumberFormat="1" applyFont="1" applyFill="1"/>
    <xf numFmtId="0" fontId="1" fillId="0" borderId="0" xfId="0" applyFont="1" applyFill="1" applyAlignment="1">
      <alignment horizontal="right"/>
    </xf>
    <xf numFmtId="166" fontId="3" fillId="2" borderId="1" xfId="2" applyNumberFormat="1" applyFont="1" applyFill="1" applyBorder="1"/>
    <xf numFmtId="167" fontId="3" fillId="2" borderId="2" xfId="0" applyNumberFormat="1" applyFont="1" applyFill="1" applyBorder="1" applyAlignment="1">
      <alignment horizontal="left" wrapText="1"/>
    </xf>
    <xf numFmtId="166" fontId="4" fillId="3" borderId="3" xfId="2" applyNumberFormat="1" applyFont="1" applyFill="1" applyBorder="1"/>
    <xf numFmtId="167" fontId="4" fillId="3" borderId="4" xfId="0" applyNumberFormat="1" applyFont="1" applyFill="1" applyBorder="1" applyAlignment="1">
      <alignment horizontal="left" wrapText="1"/>
    </xf>
    <xf numFmtId="166" fontId="3" fillId="3" borderId="5" xfId="2" applyNumberFormat="1" applyFont="1" applyFill="1" applyBorder="1"/>
    <xf numFmtId="167" fontId="3" fillId="3" borderId="6" xfId="0" applyNumberFormat="1" applyFont="1" applyFill="1" applyBorder="1" applyAlignment="1">
      <alignment wrapText="1"/>
    </xf>
    <xf numFmtId="166" fontId="4" fillId="3" borderId="5" xfId="2" applyNumberFormat="1" applyFont="1" applyFill="1" applyBorder="1"/>
    <xf numFmtId="167" fontId="5" fillId="3" borderId="6" xfId="0" applyNumberFormat="1" applyFont="1" applyFill="1" applyBorder="1" applyAlignment="1">
      <alignment wrapText="1"/>
    </xf>
    <xf numFmtId="167" fontId="4" fillId="3" borderId="6" xfId="0" applyNumberFormat="1" applyFont="1" applyFill="1" applyBorder="1" applyAlignment="1">
      <alignment wrapText="1"/>
    </xf>
    <xf numFmtId="167" fontId="5" fillId="3" borderId="6" xfId="0" applyNumberFormat="1" applyFont="1" applyFill="1" applyBorder="1" applyAlignment="1">
      <alignment horizontal="left" wrapText="1"/>
    </xf>
    <xf numFmtId="167" fontId="4" fillId="3" borderId="6" xfId="0" applyNumberFormat="1" applyFont="1" applyFill="1" applyBorder="1" applyAlignment="1">
      <alignment horizontal="left" wrapText="1"/>
    </xf>
    <xf numFmtId="167" fontId="3" fillId="3" borderId="6" xfId="0" applyNumberFormat="1" applyFont="1" applyFill="1" applyBorder="1" applyAlignment="1">
      <alignment horizontal="left" wrapText="1"/>
    </xf>
    <xf numFmtId="166" fontId="6" fillId="3" borderId="3" xfId="2" applyNumberFormat="1" applyFont="1" applyFill="1" applyBorder="1"/>
    <xf numFmtId="0" fontId="1" fillId="0" borderId="0" xfId="0" quotePrefix="1" applyFont="1" applyFill="1"/>
    <xf numFmtId="166" fontId="4" fillId="3" borderId="3" xfId="1" applyNumberFormat="1" applyFont="1" applyFill="1" applyBorder="1"/>
    <xf numFmtId="168" fontId="10" fillId="4" borderId="3" xfId="4" applyNumberFormat="1" applyFont="1" applyFill="1" applyBorder="1"/>
    <xf numFmtId="168" fontId="9" fillId="4" borderId="3" xfId="4" applyNumberFormat="1" applyFont="1" applyFill="1" applyBorder="1"/>
    <xf numFmtId="4" fontId="9" fillId="4" borderId="3" xfId="4" applyNumberFormat="1" applyFont="1" applyFill="1" applyBorder="1"/>
    <xf numFmtId="0" fontId="7" fillId="4" borderId="7" xfId="0" applyFont="1" applyFill="1" applyBorder="1"/>
    <xf numFmtId="0" fontId="8" fillId="4" borderId="0" xfId="0" applyFont="1" applyFill="1" applyBorder="1"/>
    <xf numFmtId="0" fontId="9" fillId="4" borderId="0" xfId="0" applyFont="1" applyFill="1" applyBorder="1" applyAlignment="1">
      <alignment horizontal="left"/>
    </xf>
    <xf numFmtId="1" fontId="8" fillId="4" borderId="0" xfId="0" applyNumberFormat="1" applyFont="1" applyFill="1" applyBorder="1"/>
    <xf numFmtId="0" fontId="9" fillId="4" borderId="6" xfId="0" applyFont="1" applyFill="1" applyBorder="1"/>
    <xf numFmtId="3" fontId="8" fillId="4" borderId="3" xfId="2" applyNumberFormat="1" applyFont="1" applyFill="1" applyBorder="1"/>
    <xf numFmtId="168" fontId="1" fillId="5" borderId="3" xfId="0" applyNumberFormat="1" applyFont="1" applyFill="1" applyBorder="1"/>
    <xf numFmtId="1" fontId="1" fillId="4" borderId="0" xfId="0" applyNumberFormat="1" applyFont="1" applyFill="1" applyBorder="1" applyAlignment="1">
      <alignment horizontal="right"/>
    </xf>
    <xf numFmtId="3" fontId="1" fillId="4" borderId="3" xfId="3" applyNumberFormat="1" applyFont="1" applyFill="1" applyBorder="1"/>
    <xf numFmtId="168" fontId="1" fillId="5" borderId="3" xfId="4" applyNumberFormat="1" applyFont="1" applyFill="1" applyBorder="1"/>
    <xf numFmtId="3" fontId="1" fillId="5" borderId="3" xfId="4" applyNumberFormat="1" applyFont="1" applyFill="1" applyBorder="1"/>
    <xf numFmtId="4" fontId="1" fillId="4" borderId="3" xfId="3" applyNumberFormat="1" applyFont="1" applyFill="1" applyBorder="1"/>
    <xf numFmtId="169" fontId="4" fillId="3" borderId="11" xfId="2" applyNumberFormat="1" applyFont="1" applyFill="1" applyBorder="1"/>
    <xf numFmtId="0" fontId="3" fillId="0" borderId="13" xfId="0" applyFont="1" applyFill="1" applyBorder="1" applyAlignment="1">
      <alignment horizontal="center"/>
    </xf>
    <xf numFmtId="168" fontId="9" fillId="5" borderId="3" xfId="0" applyNumberFormat="1" applyFont="1" applyFill="1" applyBorder="1"/>
    <xf numFmtId="168" fontId="9" fillId="5" borderId="3" xfId="2" applyNumberFormat="1" applyFont="1" applyFill="1" applyBorder="1"/>
    <xf numFmtId="170" fontId="9" fillId="4" borderId="0" xfId="3" applyNumberFormat="1" applyFont="1" applyFill="1" applyBorder="1" applyAlignment="1">
      <alignment horizontal="left"/>
    </xf>
    <xf numFmtId="3" fontId="8" fillId="4" borderId="3" xfId="3" applyNumberFormat="1" applyFont="1" applyFill="1" applyBorder="1"/>
    <xf numFmtId="166" fontId="8" fillId="4" borderId="3" xfId="0" applyNumberFormat="1" applyFont="1" applyFill="1" applyBorder="1"/>
    <xf numFmtId="166" fontId="1" fillId="4" borderId="6" xfId="0" applyNumberFormat="1" applyFont="1" applyFill="1" applyBorder="1"/>
    <xf numFmtId="4" fontId="1" fillId="3" borderId="3" xfId="0" applyNumberFormat="1" applyFont="1" applyFill="1" applyBorder="1"/>
    <xf numFmtId="0" fontId="7" fillId="4" borderId="7" xfId="0" applyFont="1" applyFill="1" applyBorder="1" applyAlignment="1">
      <alignment horizontal="left"/>
    </xf>
    <xf numFmtId="1" fontId="8" fillId="4" borderId="0" xfId="0" applyNumberFormat="1" applyFont="1" applyFill="1" applyBorder="1" applyAlignment="1">
      <alignment horizontal="right"/>
    </xf>
    <xf numFmtId="0" fontId="9" fillId="4" borderId="6" xfId="0" applyFont="1" applyFill="1" applyBorder="1" applyAlignment="1">
      <alignment horizontal="right"/>
    </xf>
    <xf numFmtId="3" fontId="1" fillId="0" borderId="0" xfId="0" applyNumberFormat="1" applyFont="1" applyFill="1"/>
    <xf numFmtId="166" fontId="1" fillId="0" borderId="0" xfId="0" applyNumberFormat="1" applyFont="1" applyFill="1"/>
    <xf numFmtId="166" fontId="11" fillId="2" borderId="1" xfId="2" applyNumberFormat="1" applyFont="1" applyFill="1" applyBorder="1"/>
    <xf numFmtId="3" fontId="8" fillId="4" borderId="3" xfId="4" applyNumberFormat="1" applyFont="1" applyFill="1" applyBorder="1"/>
    <xf numFmtId="3" fontId="1" fillId="4" borderId="3" xfId="4" applyNumberFormat="1" applyFont="1" applyFill="1" applyBorder="1"/>
    <xf numFmtId="4" fontId="1" fillId="4" borderId="3" xfId="4" applyNumberFormat="1" applyFont="1" applyFill="1" applyBorder="1"/>
    <xf numFmtId="166" fontId="11" fillId="3" borderId="5" xfId="2" applyNumberFormat="1" applyFont="1" applyFill="1" applyBorder="1"/>
    <xf numFmtId="166" fontId="6" fillId="3" borderId="5" xfId="2" applyNumberFormat="1" applyFont="1" applyFill="1" applyBorder="1"/>
    <xf numFmtId="166" fontId="10" fillId="4" borderId="3" xfId="0" applyNumberFormat="1" applyFont="1" applyFill="1" applyBorder="1"/>
    <xf numFmtId="166" fontId="9" fillId="4" borderId="6" xfId="0" applyNumberFormat="1" applyFont="1" applyFill="1" applyBorder="1"/>
    <xf numFmtId="4" fontId="9" fillId="3" borderId="3" xfId="0" applyNumberFormat="1" applyFont="1" applyFill="1" applyBorder="1"/>
    <xf numFmtId="1" fontId="8" fillId="4" borderId="0" xfId="0" quotePrefix="1" applyNumberFormat="1" applyFont="1" applyFill="1" applyBorder="1" applyAlignment="1">
      <alignment horizontal="right"/>
    </xf>
    <xf numFmtId="0" fontId="12" fillId="4" borderId="6" xfId="0" applyFont="1" applyFill="1" applyBorder="1" applyAlignment="1">
      <alignment horizontal="left"/>
    </xf>
    <xf numFmtId="0" fontId="7" fillId="4" borderId="7" xfId="0" quotePrefix="1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166" fontId="1" fillId="4" borderId="3" xfId="0" applyNumberFormat="1" applyFont="1" applyFill="1" applyBorder="1"/>
    <xf numFmtId="3" fontId="10" fillId="4" borderId="3" xfId="3" applyNumberFormat="1" applyFont="1" applyFill="1" applyBorder="1"/>
    <xf numFmtId="166" fontId="4" fillId="0" borderId="3" xfId="2" applyNumberFormat="1" applyFont="1" applyFill="1" applyBorder="1"/>
    <xf numFmtId="3" fontId="9" fillId="4" borderId="3" xfId="4" applyNumberFormat="1" applyFont="1" applyFill="1" applyBorder="1"/>
    <xf numFmtId="3" fontId="9" fillId="0" borderId="0" xfId="4" applyNumberFormat="1" applyFont="1" applyFill="1" applyBorder="1"/>
    <xf numFmtId="3" fontId="13" fillId="4" borderId="3" xfId="3" applyNumberFormat="1" applyFont="1" applyFill="1" applyBorder="1"/>
    <xf numFmtId="168" fontId="8" fillId="5" borderId="3" xfId="4" applyNumberFormat="1" applyFont="1" applyFill="1" applyBorder="1"/>
    <xf numFmtId="4" fontId="13" fillId="4" borderId="3" xfId="3" applyNumberFormat="1" applyFont="1" applyFill="1" applyBorder="1"/>
    <xf numFmtId="0" fontId="14" fillId="4" borderId="7" xfId="0" applyFont="1" applyFill="1" applyBorder="1"/>
    <xf numFmtId="0" fontId="8" fillId="4" borderId="0" xfId="3" applyFont="1" applyFill="1" applyBorder="1" applyAlignment="1">
      <alignment horizontal="left"/>
    </xf>
    <xf numFmtId="164" fontId="1" fillId="0" borderId="0" xfId="1" applyFont="1" applyFill="1"/>
    <xf numFmtId="168" fontId="1" fillId="4" borderId="3" xfId="4" applyNumberFormat="1" applyFont="1" applyFill="1" applyBorder="1"/>
    <xf numFmtId="0" fontId="14" fillId="4" borderId="7" xfId="3" applyFont="1" applyFill="1" applyBorder="1"/>
    <xf numFmtId="0" fontId="8" fillId="4" borderId="0" xfId="0" applyFont="1" applyFill="1" applyBorder="1" applyAlignment="1">
      <alignment horizontal="left"/>
    </xf>
    <xf numFmtId="3" fontId="1" fillId="0" borderId="3" xfId="4" applyNumberFormat="1" applyFont="1" applyFill="1" applyBorder="1"/>
    <xf numFmtId="4" fontId="1" fillId="0" borderId="3" xfId="4" applyNumberFormat="1" applyFont="1" applyFill="1" applyBorder="1"/>
    <xf numFmtId="166" fontId="15" fillId="4" borderId="3" xfId="0" applyNumberFormat="1" applyFont="1" applyFill="1" applyBorder="1"/>
    <xf numFmtId="3" fontId="13" fillId="4" borderId="3" xfId="2" applyNumberFormat="1" applyFont="1" applyFill="1" applyBorder="1"/>
    <xf numFmtId="168" fontId="13" fillId="5" borderId="3" xfId="0" applyNumberFormat="1" applyFont="1" applyFill="1" applyBorder="1"/>
    <xf numFmtId="168" fontId="13" fillId="5" borderId="3" xfId="4" applyNumberFormat="1" applyFont="1" applyFill="1" applyBorder="1"/>
    <xf numFmtId="4" fontId="13" fillId="4" borderId="3" xfId="2" applyNumberFormat="1" applyFont="1" applyFill="1" applyBorder="1"/>
    <xf numFmtId="0" fontId="8" fillId="4" borderId="0" xfId="3" applyFont="1" applyFill="1" applyBorder="1"/>
    <xf numFmtId="3" fontId="1" fillId="4" borderId="3" xfId="2" applyNumberFormat="1" applyFont="1" applyFill="1" applyBorder="1"/>
    <xf numFmtId="4" fontId="1" fillId="4" borderId="3" xfId="2" applyNumberFormat="1" applyFont="1" applyFill="1" applyBorder="1"/>
    <xf numFmtId="0" fontId="14" fillId="4" borderId="7" xfId="0" applyFont="1" applyFill="1" applyBorder="1" applyAlignment="1">
      <alignment horizontal="left"/>
    </xf>
    <xf numFmtId="0" fontId="14" fillId="4" borderId="7" xfId="3" quotePrefix="1" applyFont="1" applyFill="1" applyBorder="1" applyAlignment="1">
      <alignment horizontal="left"/>
    </xf>
    <xf numFmtId="4" fontId="1" fillId="6" borderId="3" xfId="2" applyNumberFormat="1" applyFont="1" applyFill="1" applyBorder="1"/>
    <xf numFmtId="166" fontId="6" fillId="3" borderId="3" xfId="1" applyNumberFormat="1" applyFont="1" applyFill="1" applyBorder="1"/>
    <xf numFmtId="3" fontId="13" fillId="0" borderId="3" xfId="3" applyNumberFormat="1" applyFont="1" applyFill="1" applyBorder="1"/>
    <xf numFmtId="4" fontId="13" fillId="0" borderId="3" xfId="3" applyNumberFormat="1" applyFont="1" applyFill="1" applyBorder="1"/>
    <xf numFmtId="4" fontId="1" fillId="6" borderId="3" xfId="4" applyNumberFormat="1" applyFont="1" applyFill="1" applyBorder="1"/>
    <xf numFmtId="3" fontId="16" fillId="4" borderId="3" xfId="2" applyNumberFormat="1" applyFont="1" applyFill="1" applyBorder="1"/>
    <xf numFmtId="3" fontId="17" fillId="4" borderId="3" xfId="2" applyNumberFormat="1" applyFont="1" applyFill="1" applyBorder="1"/>
    <xf numFmtId="168" fontId="17" fillId="5" borderId="3" xfId="2" applyNumberFormat="1" applyFont="1" applyFill="1" applyBorder="1"/>
    <xf numFmtId="4" fontId="17" fillId="4" borderId="3" xfId="2" applyNumberFormat="1" applyFont="1" applyFill="1" applyBorder="1"/>
    <xf numFmtId="168" fontId="1" fillId="5" borderId="3" xfId="2" applyNumberFormat="1" applyFont="1" applyFill="1" applyBorder="1"/>
    <xf numFmtId="14" fontId="9" fillId="4" borderId="14" xfId="3" applyNumberFormat="1" applyFont="1" applyFill="1" applyBorder="1" applyAlignment="1">
      <alignment horizontal="center"/>
    </xf>
    <xf numFmtId="14" fontId="9" fillId="4" borderId="12" xfId="3" applyNumberFormat="1" applyFont="1" applyFill="1" applyBorder="1" applyAlignment="1">
      <alignment horizontal="center"/>
    </xf>
    <xf numFmtId="14" fontId="10" fillId="4" borderId="12" xfId="3" applyNumberFormat="1" applyFont="1" applyFill="1" applyBorder="1" applyAlignment="1">
      <alignment horizontal="center"/>
    </xf>
    <xf numFmtId="3" fontId="9" fillId="4" borderId="3" xfId="2" applyNumberFormat="1" applyFont="1" applyFill="1" applyBorder="1"/>
    <xf numFmtId="3" fontId="9" fillId="5" borderId="3" xfId="2" applyNumberFormat="1" applyFont="1" applyFill="1" applyBorder="1"/>
    <xf numFmtId="4" fontId="9" fillId="4" borderId="3" xfId="2" applyNumberFormat="1" applyFont="1" applyFill="1" applyBorder="1"/>
    <xf numFmtId="0" fontId="8" fillId="4" borderId="0" xfId="0" quotePrefix="1" applyFont="1" applyFill="1" applyBorder="1" applyAlignment="1">
      <alignment horizontal="left"/>
    </xf>
    <xf numFmtId="0" fontId="1" fillId="3" borderId="0" xfId="0" applyFont="1" applyFill="1"/>
    <xf numFmtId="0" fontId="1" fillId="4" borderId="0" xfId="0" applyFont="1" applyFill="1" applyBorder="1" applyAlignment="1">
      <alignment horizontal="left"/>
    </xf>
    <xf numFmtId="164" fontId="1" fillId="3" borderId="0" xfId="0" applyNumberFormat="1" applyFont="1" applyFill="1"/>
    <xf numFmtId="164" fontId="1" fillId="0" borderId="0" xfId="0" applyNumberFormat="1" applyFont="1" applyFill="1"/>
    <xf numFmtId="164" fontId="1" fillId="3" borderId="0" xfId="1" applyFont="1" applyFill="1"/>
    <xf numFmtId="168" fontId="1" fillId="3" borderId="0" xfId="0" applyNumberFormat="1" applyFont="1" applyFill="1"/>
    <xf numFmtId="0" fontId="14" fillId="4" borderId="0" xfId="0" applyFont="1" applyFill="1" applyBorder="1"/>
    <xf numFmtId="0" fontId="18" fillId="4" borderId="0" xfId="0" applyFont="1" applyFill="1" applyBorder="1" applyAlignment="1">
      <alignment horizontal="left"/>
    </xf>
    <xf numFmtId="0" fontId="1" fillId="0" borderId="0" xfId="0" quotePrefix="1" applyFont="1" applyFill="1" applyAlignment="1">
      <alignment horizontal="right"/>
    </xf>
    <xf numFmtId="0" fontId="9" fillId="4" borderId="0" xfId="0" quotePrefix="1" applyFont="1" applyFill="1" applyBorder="1" applyAlignment="1">
      <alignment horizontal="left"/>
    </xf>
    <xf numFmtId="3" fontId="1" fillId="3" borderId="0" xfId="0" applyNumberFormat="1" applyFont="1" applyFill="1"/>
    <xf numFmtId="0" fontId="9" fillId="4" borderId="1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64" fontId="1" fillId="5" borderId="3" xfId="1" applyNumberFormat="1" applyFont="1" applyFill="1" applyBorder="1"/>
    <xf numFmtId="0" fontId="9" fillId="5" borderId="3" xfId="0" applyFont="1" applyFill="1" applyBorder="1" applyAlignment="1">
      <alignment horizontal="center"/>
    </xf>
    <xf numFmtId="168" fontId="1" fillId="0" borderId="0" xfId="0" applyNumberFormat="1" applyFont="1" applyFill="1"/>
    <xf numFmtId="0" fontId="9" fillId="4" borderId="12" xfId="3" applyNumberFormat="1" applyFont="1" applyFill="1" applyBorder="1" applyAlignment="1">
      <alignment horizontal="center"/>
    </xf>
    <xf numFmtId="164" fontId="9" fillId="5" borderId="12" xfId="1" applyNumberFormat="1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14" fontId="9" fillId="5" borderId="12" xfId="3" applyNumberFormat="1" applyFont="1" applyFill="1" applyBorder="1" applyAlignment="1">
      <alignment horizontal="center" vertical="center"/>
    </xf>
    <xf numFmtId="0" fontId="7" fillId="4" borderId="15" xfId="0" applyFont="1" applyFill="1" applyBorder="1"/>
    <xf numFmtId="0" fontId="8" fillId="4" borderId="16" xfId="0" applyFont="1" applyFill="1" applyBorder="1"/>
    <xf numFmtId="0" fontId="9" fillId="4" borderId="16" xfId="0" applyFont="1" applyFill="1" applyBorder="1" applyAlignment="1">
      <alignment horizontal="left"/>
    </xf>
    <xf numFmtId="1" fontId="1" fillId="4" borderId="16" xfId="0" applyNumberFormat="1" applyFont="1" applyFill="1" applyBorder="1" applyAlignment="1">
      <alignment horizontal="right"/>
    </xf>
    <xf numFmtId="1" fontId="8" fillId="4" borderId="16" xfId="0" applyNumberFormat="1" applyFont="1" applyFill="1" applyBorder="1" applyAlignment="1">
      <alignment horizontal="right"/>
    </xf>
    <xf numFmtId="0" fontId="9" fillId="4" borderId="17" xfId="0" applyFont="1" applyFill="1" applyBorder="1" applyAlignment="1">
      <alignment horizontal="right"/>
    </xf>
    <xf numFmtId="165" fontId="19" fillId="2" borderId="1" xfId="2" applyNumberFormat="1" applyFont="1" applyFill="1" applyBorder="1"/>
    <xf numFmtId="165" fontId="20" fillId="2" borderId="18" xfId="2" applyNumberFormat="1" applyFont="1" applyFill="1" applyBorder="1"/>
    <xf numFmtId="167" fontId="19" fillId="2" borderId="19" xfId="0" applyNumberFormat="1" applyFont="1" applyFill="1" applyBorder="1" applyAlignment="1">
      <alignment horizontal="left"/>
    </xf>
    <xf numFmtId="0" fontId="9" fillId="3" borderId="10" xfId="3" applyFont="1" applyFill="1" applyBorder="1" applyAlignment="1">
      <alignment vertical="center"/>
    </xf>
    <xf numFmtId="0" fontId="9" fillId="4" borderId="10" xfId="3" applyFont="1" applyFill="1" applyBorder="1" applyAlignment="1">
      <alignment vertical="center"/>
    </xf>
    <xf numFmtId="165" fontId="21" fillId="3" borderId="4" xfId="2" applyNumberFormat="1" applyFont="1" applyFill="1" applyBorder="1"/>
    <xf numFmtId="165" fontId="21" fillId="3" borderId="3" xfId="2" applyNumberFormat="1" applyFont="1" applyFill="1" applyBorder="1"/>
    <xf numFmtId="165" fontId="5" fillId="3" borderId="7" xfId="2" applyNumberFormat="1" applyFont="1" applyFill="1" applyBorder="1"/>
    <xf numFmtId="167" fontId="19" fillId="3" borderId="20" xfId="0" applyNumberFormat="1" applyFont="1" applyFill="1" applyBorder="1"/>
    <xf numFmtId="164" fontId="1" fillId="3" borderId="0" xfId="1" applyNumberFormat="1" applyFont="1" applyFill="1"/>
    <xf numFmtId="0" fontId="22" fillId="3" borderId="0" xfId="3" applyFont="1" applyFill="1" applyAlignment="1">
      <alignment horizontal="right"/>
    </xf>
    <xf numFmtId="0" fontId="7" fillId="4" borderId="0" xfId="3" applyFont="1" applyFill="1"/>
    <xf numFmtId="0" fontId="8" fillId="4" borderId="0" xfId="3" applyFont="1" applyFill="1"/>
    <xf numFmtId="0" fontId="9" fillId="4" borderId="0" xfId="3" applyFont="1" applyFill="1" applyAlignment="1">
      <alignment horizontal="left"/>
    </xf>
    <xf numFmtId="170" fontId="1" fillId="4" borderId="0" xfId="3" applyNumberFormat="1" applyFont="1" applyFill="1" applyAlignment="1">
      <alignment horizontal="right"/>
    </xf>
    <xf numFmtId="1" fontId="8" fillId="4" borderId="0" xfId="3" applyNumberFormat="1" applyFont="1" applyFill="1"/>
    <xf numFmtId="0" fontId="9" fillId="4" borderId="0" xfId="3" applyFont="1" applyFill="1"/>
    <xf numFmtId="165" fontId="19" fillId="3" borderId="4" xfId="2" applyNumberFormat="1" applyFont="1" applyFill="1" applyBorder="1"/>
    <xf numFmtId="165" fontId="20" fillId="3" borderId="21" xfId="2" applyNumberFormat="1" applyFont="1" applyFill="1" applyBorder="1"/>
    <xf numFmtId="167" fontId="19" fillId="3" borderId="22" xfId="0" applyNumberFormat="1" applyFont="1" applyFill="1" applyBorder="1" applyAlignment="1">
      <alignment horizontal="left"/>
    </xf>
    <xf numFmtId="165" fontId="5" fillId="3" borderId="21" xfId="2" applyNumberFormat="1" applyFont="1" applyFill="1" applyBorder="1"/>
    <xf numFmtId="167" fontId="21" fillId="3" borderId="22" xfId="0" applyNumberFormat="1" applyFont="1" applyFill="1" applyBorder="1"/>
    <xf numFmtId="4" fontId="1" fillId="3" borderId="0" xfId="0" applyNumberFormat="1" applyFont="1" applyFill="1"/>
    <xf numFmtId="167" fontId="21" fillId="3" borderId="6" xfId="0" applyNumberFormat="1" applyFont="1" applyFill="1" applyBorder="1"/>
    <xf numFmtId="166" fontId="1" fillId="4" borderId="8" xfId="0" applyNumberFormat="1" applyFont="1" applyFill="1" applyBorder="1"/>
    <xf numFmtId="166" fontId="1" fillId="4" borderId="2" xfId="0" applyNumberFormat="1" applyFont="1" applyFill="1" applyBorder="1"/>
    <xf numFmtId="166" fontId="1" fillId="4" borderId="9" xfId="0" applyNumberFormat="1" applyFont="1" applyFill="1" applyBorder="1"/>
    <xf numFmtId="0" fontId="7" fillId="4" borderId="9" xfId="3" applyFont="1" applyFill="1" applyBorder="1"/>
    <xf numFmtId="0" fontId="8" fillId="4" borderId="10" xfId="3" applyFont="1" applyFill="1" applyBorder="1"/>
    <xf numFmtId="0" fontId="9" fillId="4" borderId="10" xfId="3" applyFont="1" applyFill="1" applyBorder="1" applyAlignment="1">
      <alignment horizontal="left"/>
    </xf>
    <xf numFmtId="170" fontId="1" fillId="4" borderId="10" xfId="3" applyNumberFormat="1" applyFont="1" applyFill="1" applyBorder="1" applyAlignment="1">
      <alignment horizontal="right"/>
    </xf>
    <xf numFmtId="1" fontId="8" fillId="4" borderId="10" xfId="3" applyNumberFormat="1" applyFont="1" applyFill="1" applyBorder="1"/>
    <xf numFmtId="0" fontId="9" fillId="4" borderId="2" xfId="3" applyFont="1" applyFill="1" applyBorder="1"/>
    <xf numFmtId="166" fontId="1" fillId="4" borderId="7" xfId="0" applyNumberFormat="1" applyFont="1" applyFill="1" applyBorder="1"/>
    <xf numFmtId="0" fontId="7" fillId="4" borderId="7" xfId="3" applyFont="1" applyFill="1" applyBorder="1"/>
    <xf numFmtId="0" fontId="9" fillId="4" borderId="0" xfId="3" applyFont="1" applyFill="1" applyBorder="1" applyAlignment="1">
      <alignment horizontal="left"/>
    </xf>
    <xf numFmtId="170" fontId="1" fillId="4" borderId="0" xfId="3" applyNumberFormat="1" applyFont="1" applyFill="1" applyBorder="1" applyAlignment="1">
      <alignment horizontal="right"/>
    </xf>
    <xf numFmtId="1" fontId="8" fillId="4" borderId="0" xfId="3" applyNumberFormat="1" applyFont="1" applyFill="1" applyBorder="1"/>
    <xf numFmtId="0" fontId="9" fillId="4" borderId="6" xfId="3" applyFont="1" applyFill="1" applyBorder="1"/>
    <xf numFmtId="3" fontId="9" fillId="4" borderId="6" xfId="4" applyNumberFormat="1" applyFont="1" applyFill="1" applyBorder="1"/>
    <xf numFmtId="168" fontId="9" fillId="5" borderId="7" xfId="4" applyNumberFormat="1" applyFont="1" applyFill="1" applyBorder="1"/>
    <xf numFmtId="0" fontId="9" fillId="4" borderId="6" xfId="3" applyFont="1" applyFill="1" applyBorder="1" applyAlignment="1">
      <alignment horizontal="right"/>
    </xf>
    <xf numFmtId="0" fontId="1" fillId="5" borderId="3" xfId="0" applyFont="1" applyFill="1" applyBorder="1"/>
    <xf numFmtId="3" fontId="1" fillId="5" borderId="7" xfId="3" applyNumberFormat="1" applyFont="1" applyFill="1" applyBorder="1"/>
    <xf numFmtId="3" fontId="9" fillId="4" borderId="7" xfId="4" applyNumberFormat="1" applyFont="1" applyFill="1" applyBorder="1"/>
    <xf numFmtId="3" fontId="1" fillId="4" borderId="6" xfId="4" applyNumberFormat="1" applyFont="1" applyFill="1" applyBorder="1"/>
    <xf numFmtId="168" fontId="1" fillId="5" borderId="7" xfId="4" applyNumberFormat="1" applyFont="1" applyFill="1" applyBorder="1"/>
    <xf numFmtId="3" fontId="9" fillId="4" borderId="6" xfId="3" applyNumberFormat="1" applyFont="1" applyFill="1" applyBorder="1"/>
    <xf numFmtId="4" fontId="9" fillId="3" borderId="3" xfId="3" applyNumberFormat="1" applyFont="1" applyFill="1" applyBorder="1"/>
    <xf numFmtId="0" fontId="1" fillId="0" borderId="0" xfId="0" applyFont="1" applyFill="1" applyAlignment="1">
      <alignment horizontal="center"/>
    </xf>
    <xf numFmtId="165" fontId="21" fillId="3" borderId="3" xfId="0" applyNumberFormat="1" applyFont="1" applyFill="1" applyBorder="1"/>
    <xf numFmtId="4" fontId="1" fillId="3" borderId="3" xfId="4" applyNumberFormat="1" applyFont="1" applyFill="1" applyBorder="1"/>
    <xf numFmtId="4" fontId="9" fillId="3" borderId="3" xfId="4" applyNumberFormat="1" applyFont="1" applyFill="1" applyBorder="1"/>
    <xf numFmtId="3" fontId="1" fillId="4" borderId="6" xfId="3" applyNumberFormat="1" applyFont="1" applyFill="1" applyBorder="1"/>
    <xf numFmtId="4" fontId="1" fillId="3" borderId="3" xfId="3" applyNumberFormat="1" applyFont="1" applyFill="1" applyBorder="1"/>
    <xf numFmtId="0" fontId="7" fillId="4" borderId="7" xfId="3" applyFont="1" applyFill="1" applyBorder="1" applyAlignment="1">
      <alignment horizontal="left"/>
    </xf>
    <xf numFmtId="165" fontId="21" fillId="3" borderId="23" xfId="2" applyNumberFormat="1" applyFont="1" applyFill="1" applyBorder="1"/>
    <xf numFmtId="165" fontId="5" fillId="3" borderId="24" xfId="2" applyNumberFormat="1" applyFont="1" applyFill="1" applyBorder="1"/>
    <xf numFmtId="167" fontId="19" fillId="3" borderId="25" xfId="0" applyNumberFormat="1" applyFont="1" applyFill="1" applyBorder="1"/>
    <xf numFmtId="165" fontId="19" fillId="3" borderId="5" xfId="2" applyNumberFormat="1" applyFont="1" applyFill="1" applyBorder="1"/>
    <xf numFmtId="165" fontId="20" fillId="3" borderId="26" xfId="2" applyNumberFormat="1" applyFont="1" applyFill="1" applyBorder="1"/>
    <xf numFmtId="167" fontId="19" fillId="3" borderId="25" xfId="0" applyNumberFormat="1" applyFont="1" applyFill="1" applyBorder="1" applyAlignment="1">
      <alignment horizontal="left"/>
    </xf>
    <xf numFmtId="3" fontId="10" fillId="4" borderId="3" xfId="4" applyNumberFormat="1" applyFont="1" applyFill="1" applyBorder="1"/>
    <xf numFmtId="167" fontId="19" fillId="3" borderId="6" xfId="0" applyNumberFormat="1" applyFont="1" applyFill="1" applyBorder="1"/>
    <xf numFmtId="166" fontId="9" fillId="4" borderId="3" xfId="0" applyNumberFormat="1" applyFont="1" applyFill="1" applyBorder="1"/>
    <xf numFmtId="0" fontId="7" fillId="4" borderId="0" xfId="3" applyFont="1" applyFill="1" applyBorder="1"/>
    <xf numFmtId="167" fontId="21" fillId="3" borderId="3" xfId="0" applyNumberFormat="1" applyFont="1" applyFill="1" applyBorder="1"/>
    <xf numFmtId="167" fontId="21" fillId="3" borderId="11" xfId="0" applyNumberFormat="1" applyFont="1" applyFill="1" applyBorder="1"/>
    <xf numFmtId="167" fontId="21" fillId="3" borderId="24" xfId="0" applyNumberFormat="1" applyFont="1" applyFill="1" applyBorder="1"/>
    <xf numFmtId="0" fontId="19" fillId="0" borderId="13" xfId="0" applyFont="1" applyFill="1" applyBorder="1" applyAlignment="1">
      <alignment horizontal="center"/>
    </xf>
    <xf numFmtId="0" fontId="1" fillId="4" borderId="0" xfId="3" applyFont="1" applyFill="1" applyBorder="1"/>
    <xf numFmtId="1" fontId="1" fillId="4" borderId="0" xfId="3" applyNumberFormat="1" applyFont="1" applyFill="1" applyBorder="1" applyAlignment="1">
      <alignment horizontal="left"/>
    </xf>
    <xf numFmtId="167" fontId="21" fillId="3" borderId="0" xfId="0" applyNumberFormat="1" applyFont="1" applyFill="1" applyBorder="1"/>
    <xf numFmtId="167" fontId="19" fillId="3" borderId="0" xfId="0" applyNumberFormat="1" applyFont="1" applyFill="1" applyBorder="1" applyAlignment="1">
      <alignment horizontal="center"/>
    </xf>
    <xf numFmtId="3" fontId="8" fillId="0" borderId="3" xfId="3" applyNumberFormat="1" applyFont="1" applyFill="1" applyBorder="1"/>
    <xf numFmtId="1" fontId="8" fillId="4" borderId="0" xfId="3" applyNumberFormat="1" applyFont="1" applyFill="1" applyBorder="1" applyAlignment="1">
      <alignment horizontal="left"/>
    </xf>
    <xf numFmtId="0" fontId="10" fillId="4" borderId="0" xfId="3" applyFont="1" applyFill="1" applyBorder="1" applyAlignment="1">
      <alignment horizontal="center"/>
    </xf>
    <xf numFmtId="1" fontId="8" fillId="4" borderId="0" xfId="3" applyNumberFormat="1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center"/>
    </xf>
    <xf numFmtId="0" fontId="1" fillId="5" borderId="7" xfId="3" applyFont="1" applyFill="1" applyBorder="1"/>
    <xf numFmtId="165" fontId="19" fillId="7" borderId="1" xfId="2" applyNumberFormat="1" applyFont="1" applyFill="1" applyBorder="1"/>
    <xf numFmtId="165" fontId="20" fillId="7" borderId="18" xfId="2" applyNumberFormat="1" applyFont="1" applyFill="1" applyBorder="1"/>
    <xf numFmtId="167" fontId="19" fillId="7" borderId="19" xfId="0" applyNumberFormat="1" applyFont="1" applyFill="1" applyBorder="1" applyAlignment="1">
      <alignment horizontal="left"/>
    </xf>
    <xf numFmtId="3" fontId="1" fillId="4" borderId="11" xfId="4" applyNumberFormat="1" applyFont="1" applyFill="1" applyBorder="1"/>
    <xf numFmtId="164" fontId="1" fillId="5" borderId="11" xfId="1" applyNumberFormat="1" applyFont="1" applyFill="1" applyBorder="1"/>
    <xf numFmtId="0" fontId="12" fillId="4" borderId="6" xfId="3" applyFont="1" applyFill="1" applyBorder="1" applyAlignment="1">
      <alignment horizontal="left"/>
    </xf>
    <xf numFmtId="165" fontId="19" fillId="3" borderId="23" xfId="2" applyNumberFormat="1" applyFont="1" applyFill="1" applyBorder="1"/>
    <xf numFmtId="165" fontId="20" fillId="3" borderId="24" xfId="2" applyNumberFormat="1" applyFont="1" applyFill="1" applyBorder="1"/>
    <xf numFmtId="0" fontId="7" fillId="4" borderId="15" xfId="3" applyFont="1" applyFill="1" applyBorder="1"/>
    <xf numFmtId="0" fontId="8" fillId="4" borderId="16" xfId="3" applyFont="1" applyFill="1" applyBorder="1"/>
    <xf numFmtId="0" fontId="9" fillId="4" borderId="16" xfId="3" applyFont="1" applyFill="1" applyBorder="1" applyAlignment="1">
      <alignment horizontal="left"/>
    </xf>
    <xf numFmtId="170" fontId="1" fillId="4" borderId="16" xfId="3" applyNumberFormat="1" applyFont="1" applyFill="1" applyBorder="1" applyAlignment="1">
      <alignment horizontal="right"/>
    </xf>
    <xf numFmtId="1" fontId="8" fillId="4" borderId="16" xfId="3" applyNumberFormat="1" applyFont="1" applyFill="1" applyBorder="1" applyAlignment="1">
      <alignment horizontal="right"/>
    </xf>
    <xf numFmtId="0" fontId="12" fillId="4" borderId="17" xfId="3" applyFont="1" applyFill="1" applyBorder="1" applyAlignment="1">
      <alignment horizontal="left"/>
    </xf>
    <xf numFmtId="168" fontId="1" fillId="3" borderId="0" xfId="3" applyNumberFormat="1" applyFont="1" applyFill="1"/>
    <xf numFmtId="0" fontId="9" fillId="4" borderId="0" xfId="3" applyFont="1" applyFill="1" applyBorder="1" applyAlignment="1">
      <alignment horizontal="right"/>
    </xf>
    <xf numFmtId="167" fontId="5" fillId="3" borderId="20" xfId="0" applyNumberFormat="1" applyFont="1" applyFill="1" applyBorder="1"/>
    <xf numFmtId="166" fontId="1" fillId="4" borderId="0" xfId="0" applyNumberFormat="1" applyFont="1" applyFill="1" applyBorder="1"/>
    <xf numFmtId="0" fontId="7" fillId="0" borderId="10" xfId="3" applyFont="1" applyFill="1" applyBorder="1"/>
    <xf numFmtId="0" fontId="9" fillId="0" borderId="10" xfId="3" applyFont="1" applyFill="1" applyBorder="1" applyAlignment="1">
      <alignment horizontal="left"/>
    </xf>
    <xf numFmtId="1" fontId="8" fillId="4" borderId="10" xfId="3" applyNumberFormat="1" applyFont="1" applyFill="1" applyBorder="1" applyAlignment="1">
      <alignment horizontal="right"/>
    </xf>
    <xf numFmtId="0" fontId="9" fillId="4" borderId="2" xfId="3" applyFont="1" applyFill="1" applyBorder="1" applyAlignment="1">
      <alignment horizontal="right"/>
    </xf>
    <xf numFmtId="168" fontId="1" fillId="5" borderId="6" xfId="0" applyNumberFormat="1" applyFont="1" applyFill="1" applyBorder="1"/>
    <xf numFmtId="3" fontId="9" fillId="5" borderId="3" xfId="4" applyNumberFormat="1" applyFont="1" applyFill="1" applyBorder="1"/>
    <xf numFmtId="3" fontId="9" fillId="5" borderId="7" xfId="4" applyNumberFormat="1" applyFont="1" applyFill="1" applyBorder="1"/>
    <xf numFmtId="164" fontId="1" fillId="4" borderId="3" xfId="4" applyNumberFormat="1" applyFont="1" applyFill="1" applyBorder="1"/>
    <xf numFmtId="168" fontId="9" fillId="5" borderId="6" xfId="0" applyNumberFormat="1" applyFont="1" applyFill="1" applyBorder="1"/>
    <xf numFmtId="164" fontId="9" fillId="4" borderId="3" xfId="4" applyNumberFormat="1" applyFont="1" applyFill="1" applyBorder="1"/>
    <xf numFmtId="0" fontId="9" fillId="4" borderId="6" xfId="3" applyFont="1" applyFill="1" applyBorder="1" applyAlignment="1">
      <alignment horizontal="left"/>
    </xf>
    <xf numFmtId="3" fontId="9" fillId="4" borderId="3" xfId="3" applyNumberFormat="1" applyFont="1" applyFill="1" applyBorder="1"/>
    <xf numFmtId="164" fontId="1" fillId="4" borderId="3" xfId="0" applyNumberFormat="1" applyFont="1" applyFill="1" applyBorder="1"/>
    <xf numFmtId="167" fontId="21" fillId="3" borderId="22" xfId="0" applyNumberFormat="1" applyFont="1" applyFill="1" applyBorder="1" applyAlignment="1">
      <alignment horizontal="left"/>
    </xf>
    <xf numFmtId="170" fontId="8" fillId="4" borderId="0" xfId="3" applyNumberFormat="1" applyFont="1" applyFill="1" applyBorder="1" applyAlignment="1">
      <alignment horizontal="left"/>
    </xf>
    <xf numFmtId="168" fontId="10" fillId="5" borderId="6" xfId="0" applyNumberFormat="1" applyFont="1" applyFill="1" applyBorder="1"/>
    <xf numFmtId="168" fontId="10" fillId="5" borderId="3" xfId="0" applyNumberFormat="1" applyFont="1" applyFill="1" applyBorder="1"/>
    <xf numFmtId="168" fontId="10" fillId="5" borderId="7" xfId="4" applyNumberFormat="1" applyFont="1" applyFill="1" applyBorder="1"/>
    <xf numFmtId="164" fontId="10" fillId="4" borderId="3" xfId="4" applyNumberFormat="1" applyFont="1" applyFill="1" applyBorder="1"/>
    <xf numFmtId="170" fontId="10" fillId="4" borderId="0" xfId="3" applyNumberFormat="1" applyFont="1" applyFill="1" applyBorder="1" applyAlignment="1">
      <alignment horizontal="left"/>
    </xf>
    <xf numFmtId="168" fontId="8" fillId="5" borderId="7" xfId="4" applyNumberFormat="1" applyFont="1" applyFill="1" applyBorder="1"/>
    <xf numFmtId="164" fontId="8" fillId="4" borderId="3" xfId="4" applyNumberFormat="1" applyFont="1" applyFill="1" applyBorder="1"/>
    <xf numFmtId="1" fontId="1" fillId="4" borderId="0" xfId="3" applyNumberFormat="1" applyFont="1" applyFill="1" applyBorder="1" applyAlignment="1">
      <alignment horizontal="right"/>
    </xf>
    <xf numFmtId="166" fontId="9" fillId="4" borderId="0" xfId="0" applyNumberFormat="1" applyFont="1" applyFill="1" applyBorder="1"/>
    <xf numFmtId="164" fontId="9" fillId="4" borderId="3" xfId="0" applyNumberFormat="1" applyFont="1" applyFill="1" applyBorder="1"/>
    <xf numFmtId="165" fontId="5" fillId="3" borderId="3" xfId="2" applyNumberFormat="1" applyFont="1" applyFill="1" applyBorder="1"/>
    <xf numFmtId="167" fontId="5" fillId="3" borderId="6" xfId="0" applyNumberFormat="1" applyFont="1" applyFill="1" applyBorder="1"/>
    <xf numFmtId="167" fontId="19" fillId="3" borderId="20" xfId="0" applyNumberFormat="1" applyFont="1" applyFill="1" applyBorder="1" applyAlignment="1">
      <alignment horizontal="left"/>
    </xf>
    <xf numFmtId="165" fontId="19" fillId="3" borderId="27" xfId="2" applyNumberFormat="1" applyFont="1" applyFill="1" applyBorder="1"/>
    <xf numFmtId="165" fontId="20" fillId="3" borderId="28" xfId="2" applyNumberFormat="1" applyFont="1" applyFill="1" applyBorder="1"/>
    <xf numFmtId="167" fontId="21" fillId="3" borderId="6" xfId="0" applyNumberFormat="1" applyFont="1" applyFill="1" applyBorder="1" applyAlignment="1">
      <alignment horizontal="left"/>
    </xf>
    <xf numFmtId="0" fontId="7" fillId="4" borderId="0" xfId="3" applyFont="1" applyFill="1" applyBorder="1" applyAlignment="1">
      <alignment horizontal="left"/>
    </xf>
    <xf numFmtId="1" fontId="1" fillId="4" borderId="0" xfId="3" quotePrefix="1" applyNumberFormat="1" applyFont="1" applyFill="1" applyBorder="1" applyAlignment="1">
      <alignment horizontal="right"/>
    </xf>
    <xf numFmtId="164" fontId="1" fillId="4" borderId="3" xfId="3" applyNumberFormat="1" applyFont="1" applyFill="1" applyBorder="1"/>
    <xf numFmtId="3" fontId="14" fillId="4" borderId="3" xfId="4" applyNumberFormat="1" applyFont="1" applyFill="1" applyBorder="1"/>
    <xf numFmtId="3" fontId="14" fillId="4" borderId="3" xfId="3" applyNumberFormat="1" applyFont="1" applyFill="1" applyBorder="1"/>
    <xf numFmtId="168" fontId="14" fillId="5" borderId="6" xfId="0" applyNumberFormat="1" applyFont="1" applyFill="1" applyBorder="1"/>
    <xf numFmtId="168" fontId="14" fillId="5" borderId="3" xfId="0" applyNumberFormat="1" applyFont="1" applyFill="1" applyBorder="1"/>
    <xf numFmtId="168" fontId="14" fillId="5" borderId="7" xfId="4" applyNumberFormat="1" applyFont="1" applyFill="1" applyBorder="1"/>
    <xf numFmtId="164" fontId="14" fillId="4" borderId="3" xfId="3" applyNumberFormat="1" applyFont="1" applyFill="1" applyBorder="1"/>
    <xf numFmtId="0" fontId="14" fillId="4" borderId="0" xfId="3" applyFont="1" applyFill="1" applyBorder="1"/>
    <xf numFmtId="164" fontId="8" fillId="4" borderId="3" xfId="0" applyNumberFormat="1" applyFont="1" applyFill="1" applyBorder="1"/>
    <xf numFmtId="3" fontId="1" fillId="5" borderId="7" xfId="4" applyNumberFormat="1" applyFont="1" applyFill="1" applyBorder="1"/>
    <xf numFmtId="167" fontId="5" fillId="3" borderId="20" xfId="0" applyNumberFormat="1" applyFont="1" applyFill="1" applyBorder="1" applyAlignment="1">
      <alignment horizontal="left"/>
    </xf>
    <xf numFmtId="0" fontId="18" fillId="4" borderId="0" xfId="3" applyFont="1" applyFill="1" applyBorder="1"/>
    <xf numFmtId="0" fontId="7" fillId="4" borderId="0" xfId="3" quotePrefix="1" applyFont="1" applyFill="1" applyBorder="1" applyAlignment="1">
      <alignment horizontal="left"/>
    </xf>
    <xf numFmtId="164" fontId="1" fillId="5" borderId="6" xfId="1" applyNumberFormat="1" applyFont="1" applyFill="1" applyBorder="1"/>
    <xf numFmtId="169" fontId="21" fillId="3" borderId="3" xfId="2" applyNumberFormat="1" applyFont="1" applyFill="1" applyBorder="1"/>
    <xf numFmtId="169" fontId="21" fillId="3" borderId="7" xfId="2" applyNumberFormat="1" applyFont="1" applyFill="1" applyBorder="1"/>
    <xf numFmtId="0" fontId="10" fillId="4" borderId="0" xfId="3" applyFont="1" applyFill="1" applyBorder="1"/>
    <xf numFmtId="170" fontId="9" fillId="4" borderId="0" xfId="3" applyNumberFormat="1" applyFont="1" applyFill="1" applyBorder="1" applyAlignment="1">
      <alignment horizontal="right"/>
    </xf>
    <xf numFmtId="1" fontId="10" fillId="4" borderId="0" xfId="3" applyNumberFormat="1" applyFont="1" applyFill="1" applyBorder="1" applyAlignment="1">
      <alignment horizontal="right"/>
    </xf>
    <xf numFmtId="0" fontId="1" fillId="0" borderId="4" xfId="0" applyFont="1" applyFill="1" applyBorder="1"/>
    <xf numFmtId="0" fontId="1" fillId="0" borderId="26" xfId="0" applyFont="1" applyFill="1" applyBorder="1"/>
    <xf numFmtId="0" fontId="1" fillId="0" borderId="29" xfId="0" applyFont="1" applyFill="1" applyBorder="1"/>
    <xf numFmtId="167" fontId="19" fillId="0" borderId="22" xfId="0" applyNumberFormat="1" applyFont="1" applyFill="1" applyBorder="1" applyAlignment="1">
      <alignment wrapText="1"/>
    </xf>
    <xf numFmtId="3" fontId="1" fillId="4" borderId="11" xfId="3" applyNumberFormat="1" applyFont="1" applyFill="1" applyBorder="1"/>
    <xf numFmtId="164" fontId="1" fillId="5" borderId="17" xfId="1" applyNumberFormat="1" applyFont="1" applyFill="1" applyBorder="1"/>
    <xf numFmtId="0" fontId="12" fillId="4" borderId="6" xfId="3" applyFont="1" applyFill="1" applyBorder="1"/>
    <xf numFmtId="0" fontId="9" fillId="0" borderId="0" xfId="0" applyFont="1" applyFill="1" applyAlignment="1">
      <alignment horizontal="center"/>
    </xf>
    <xf numFmtId="14" fontId="10" fillId="4" borderId="11" xfId="3" applyNumberFormat="1" applyFont="1" applyFill="1" applyBorder="1" applyAlignment="1">
      <alignment horizontal="center"/>
    </xf>
    <xf numFmtId="0" fontId="12" fillId="4" borderId="17" xfId="3" applyFont="1" applyFill="1" applyBorder="1"/>
  </cellXfs>
  <cellStyles count="5">
    <cellStyle name="Migliaia" xfId="1" builtinId="3"/>
    <cellStyle name="Migliaia (0)_Prospetti Budget Chieti" xfId="4" xr:uid="{20D3AB76-75ED-467E-A660-2EAA9D2AD4F6}"/>
    <cellStyle name="Migliaia [0]" xfId="2" builtinId="6"/>
    <cellStyle name="Normale" xfId="0" builtinId="0"/>
    <cellStyle name="Normale_Prospetti Budget Chieti" xfId="3" xr:uid="{185B1512-7543-4EA1-9BE1-637C01E1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85725</xdr:colOff>
      <xdr:row>0</xdr:row>
      <xdr:rowOff>215713</xdr:rowOff>
    </xdr:from>
    <xdr:ext cx="2638425" cy="647700"/>
    <xdr:pic>
      <xdr:nvPicPr>
        <xdr:cNvPr id="2" name="Immagine 7" descr="logo-arpa.png">
          <a:extLst>
            <a:ext uri="{FF2B5EF4-FFF2-40B4-BE49-F238E27FC236}">
              <a16:creationId xmlns:a16="http://schemas.microsoft.com/office/drawing/2014/main" id="{60B2A888-C29C-4AC3-B0F9-01673802F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2843" y="215713"/>
          <a:ext cx="2638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19</xdr:col>
      <xdr:colOff>9525</xdr:colOff>
      <xdr:row>0</xdr:row>
      <xdr:rowOff>247650</xdr:rowOff>
    </xdr:from>
    <xdr:to>
      <xdr:col>20</xdr:col>
      <xdr:colOff>276225</xdr:colOff>
      <xdr:row>1</xdr:row>
      <xdr:rowOff>38100</xdr:rowOff>
    </xdr:to>
    <xdr:pic>
      <xdr:nvPicPr>
        <xdr:cNvPr id="4" name="Immagine 5">
          <a:extLst>
            <a:ext uri="{FF2B5EF4-FFF2-40B4-BE49-F238E27FC236}">
              <a16:creationId xmlns:a16="http://schemas.microsoft.com/office/drawing/2014/main" id="{A8A15847-37E4-4908-9ABD-77FCC9780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70" t="22110" r="27527" b="45467"/>
        <a:stretch>
          <a:fillRect/>
        </a:stretch>
      </xdr:blipFill>
      <xdr:spPr bwMode="auto">
        <a:xfrm>
          <a:off x="11591925" y="161925"/>
          <a:ext cx="876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361950</xdr:colOff>
      <xdr:row>78</xdr:row>
      <xdr:rowOff>76200</xdr:rowOff>
    </xdr:from>
    <xdr:ext cx="2638425" cy="646579"/>
    <xdr:pic>
      <xdr:nvPicPr>
        <xdr:cNvPr id="5" name="Immagine 7" descr="logo-arpa.png">
          <a:extLst>
            <a:ext uri="{FF2B5EF4-FFF2-40B4-BE49-F238E27FC236}">
              <a16:creationId xmlns:a16="http://schemas.microsoft.com/office/drawing/2014/main" id="{3E5A2B7D-3900-447E-8373-9EBDBC46D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12706350"/>
          <a:ext cx="2638425" cy="646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0</xdr:colOff>
      <xdr:row>79</xdr:row>
      <xdr:rowOff>0</xdr:rowOff>
    </xdr:from>
    <xdr:to>
      <xdr:col>16</xdr:col>
      <xdr:colOff>142875</xdr:colOff>
      <xdr:row>87</xdr:row>
      <xdr:rowOff>66675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B97CC2D6-163B-4BB6-B972-D0BD9E49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70" t="22110" r="27527" b="45467"/>
        <a:stretch>
          <a:fillRect/>
        </a:stretch>
      </xdr:blipFill>
      <xdr:spPr bwMode="auto">
        <a:xfrm>
          <a:off x="9144000" y="12792075"/>
          <a:ext cx="7524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85725</xdr:colOff>
      <xdr:row>0</xdr:row>
      <xdr:rowOff>0</xdr:rowOff>
    </xdr:from>
    <xdr:ext cx="2638425" cy="647700"/>
    <xdr:pic>
      <xdr:nvPicPr>
        <xdr:cNvPr id="2" name="Immagine 7" descr="logo-arpa.png">
          <a:extLst>
            <a:ext uri="{FF2B5EF4-FFF2-40B4-BE49-F238E27FC236}">
              <a16:creationId xmlns:a16="http://schemas.microsoft.com/office/drawing/2014/main" id="{D121DB36-DBFC-43A4-9422-352DA3EE3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15713"/>
          <a:ext cx="2638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4019550</xdr:colOff>
      <xdr:row>1</xdr:row>
      <xdr:rowOff>38100</xdr:rowOff>
    </xdr:from>
    <xdr:to>
      <xdr:col>16</xdr:col>
      <xdr:colOff>104775</xdr:colOff>
      <xdr:row>5</xdr:row>
      <xdr:rowOff>95250</xdr:rowOff>
    </xdr:to>
    <xdr:pic>
      <xdr:nvPicPr>
        <xdr:cNvPr id="8" name="Immagine 5">
          <a:extLst>
            <a:ext uri="{FF2B5EF4-FFF2-40B4-BE49-F238E27FC236}">
              <a16:creationId xmlns:a16="http://schemas.microsoft.com/office/drawing/2014/main" id="{0B1C837F-B3EE-4074-AEBB-EF2C7D346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70" t="22110" r="27527" b="45467"/>
        <a:stretch>
          <a:fillRect/>
        </a:stretch>
      </xdr:blipFill>
      <xdr:spPr bwMode="auto">
        <a:xfrm>
          <a:off x="9201150" y="22059900"/>
          <a:ext cx="381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bilanci%20Arpa/2022/PREVISIONALE%202022/PREVISIONALE%2022%2024%20V2%20RIEDIZIONE/ARPA%20BILANCIO%202024%20-%20per%20triennio%202022%202024%20-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5"/>
      <sheetName val="A 3"/>
      <sheetName val="per materie prime"/>
      <sheetName val="per servizi"/>
      <sheetName val="B 2b"/>
      <sheetName val="B 2c"/>
      <sheetName val="B 2d"/>
      <sheetName val="B 3"/>
      <sheetName val="per godimento beni di terzi"/>
      <sheetName val="sintesi costi del personale"/>
      <sheetName val="B 5"/>
      <sheetName val="B 6"/>
      <sheetName val="B 7"/>
      <sheetName val="B 8"/>
      <sheetName val="oneri diversi di gestione"/>
      <sheetName val="B 10"/>
      <sheetName val="B 11"/>
      <sheetName val="B 12"/>
      <sheetName val="B 13"/>
      <sheetName val="B 14"/>
      <sheetName val="B 15"/>
      <sheetName val="C"/>
      <sheetName val="E"/>
      <sheetName val="RF indiretto"/>
      <sheetName val="BDV 2024"/>
      <sheetName val="IMMOBILIZZAZIONI"/>
      <sheetName val="IMPOSTE"/>
      <sheetName val="R FINANZIARIO"/>
      <sheetName val="B"/>
      <sheetName val="B I"/>
      <sheetName val="B II 1"/>
      <sheetName val="B II 2"/>
      <sheetName val="B II 3"/>
      <sheetName val="B II 4"/>
      <sheetName val="B II 6"/>
      <sheetName val="B IV"/>
      <sheetName val="RATEI RISCONTI"/>
      <sheetName val="P NETTO"/>
      <sheetName val="riserva donazioni"/>
      <sheetName val="B2"/>
      <sheetName val="B3"/>
      <sheetName val="D 2"/>
      <sheetName val="D 3"/>
      <sheetName val="D 4"/>
      <sheetName val="D5"/>
      <sheetName val="D 6"/>
      <sheetName val="D 8"/>
      <sheetName val="D 9"/>
      <sheetName val="D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2">
          <cell r="B12">
            <v>0</v>
          </cell>
        </row>
      </sheetData>
      <sheetData sheetId="24"/>
      <sheetData sheetId="25">
        <row r="1">
          <cell r="B1">
            <v>2</v>
          </cell>
          <cell r="G1">
            <v>7</v>
          </cell>
          <cell r="O1">
            <v>15</v>
          </cell>
        </row>
        <row r="2">
          <cell r="G2" t="str">
            <v>Imp.Sottoc.</v>
          </cell>
        </row>
        <row r="3">
          <cell r="G3">
            <v>2016</v>
          </cell>
          <cell r="O3">
            <v>2024</v>
          </cell>
        </row>
        <row r="4">
          <cell r="B4" t="str">
            <v>AI 3</v>
          </cell>
          <cell r="G4">
            <v>145.19999999999999</v>
          </cell>
          <cell r="O4">
            <v>0</v>
          </cell>
        </row>
        <row r="5">
          <cell r="B5" t="str">
            <v>AI 3</v>
          </cell>
          <cell r="G5">
            <v>43200.44</v>
          </cell>
          <cell r="O5">
            <v>716379</v>
          </cell>
        </row>
        <row r="6">
          <cell r="B6" t="str">
            <v>AI 5</v>
          </cell>
          <cell r="G6">
            <v>36723.71</v>
          </cell>
          <cell r="O6">
            <v>0</v>
          </cell>
        </row>
        <row r="7">
          <cell r="B7" t="str">
            <v>AI 5</v>
          </cell>
          <cell r="O7">
            <v>14191117.498725867</v>
          </cell>
        </row>
        <row r="8">
          <cell r="B8" t="str">
            <v>AI 5</v>
          </cell>
          <cell r="G8">
            <v>14447.4</v>
          </cell>
          <cell r="O8">
            <v>5100</v>
          </cell>
        </row>
        <row r="9">
          <cell r="O9">
            <v>0</v>
          </cell>
        </row>
        <row r="10">
          <cell r="B10" t="str">
            <v>AII 2b</v>
          </cell>
          <cell r="G10">
            <v>14976284.65</v>
          </cell>
          <cell r="O10">
            <v>16677864.15</v>
          </cell>
        </row>
        <row r="11">
          <cell r="B11" t="str">
            <v>AII 2a</v>
          </cell>
          <cell r="G11">
            <v>2450</v>
          </cell>
          <cell r="O11">
            <v>0</v>
          </cell>
        </row>
        <row r="12">
          <cell r="B12" t="str">
            <v>AII 3</v>
          </cell>
          <cell r="G12">
            <v>366315.01</v>
          </cell>
          <cell r="O12">
            <v>654742.68999999994</v>
          </cell>
        </row>
        <row r="13">
          <cell r="B13" t="str">
            <v>AII 3</v>
          </cell>
          <cell r="G13">
            <v>3315987.89</v>
          </cell>
          <cell r="O13">
            <v>3694967.43</v>
          </cell>
        </row>
        <row r="14">
          <cell r="B14" t="str">
            <v>AII 3</v>
          </cell>
          <cell r="O14">
            <v>8878675.4000000004</v>
          </cell>
        </row>
        <row r="15">
          <cell r="B15" t="str">
            <v>AII 4</v>
          </cell>
          <cell r="G15">
            <v>19877261.649999999</v>
          </cell>
          <cell r="O15">
            <v>19279593.350000001</v>
          </cell>
        </row>
        <row r="16">
          <cell r="B16" t="str">
            <v>AII 4</v>
          </cell>
          <cell r="G16">
            <v>5300457.38</v>
          </cell>
          <cell r="O16">
            <v>6073764.2300000004</v>
          </cell>
        </row>
        <row r="17">
          <cell r="B17" t="str">
            <v>AII 4</v>
          </cell>
          <cell r="O17">
            <v>10009297.66</v>
          </cell>
        </row>
        <row r="18">
          <cell r="B18" t="str">
            <v>AII 5</v>
          </cell>
          <cell r="G18">
            <v>2650187.81</v>
          </cell>
          <cell r="O18">
            <v>2772029.58</v>
          </cell>
        </row>
        <row r="19">
          <cell r="B19" t="str">
            <v>AII 6</v>
          </cell>
          <cell r="G19">
            <v>613043.71</v>
          </cell>
          <cell r="O19">
            <v>511777.54</v>
          </cell>
        </row>
        <row r="20">
          <cell r="B20" t="str">
            <v>AII 6</v>
          </cell>
          <cell r="G20">
            <v>1344081.54</v>
          </cell>
          <cell r="O20">
            <v>1141566.3999999999</v>
          </cell>
        </row>
        <row r="21">
          <cell r="B21" t="str">
            <v>AII 6</v>
          </cell>
          <cell r="G21">
            <v>1860492.3</v>
          </cell>
          <cell r="O21">
            <v>4641208.8499999996</v>
          </cell>
        </row>
        <row r="22">
          <cell r="B22" t="str">
            <v>AII 7</v>
          </cell>
          <cell r="G22">
            <v>152668.53</v>
          </cell>
          <cell r="O22">
            <v>31421.97</v>
          </cell>
        </row>
        <row r="23">
          <cell r="B23" t="str">
            <v>AII 7</v>
          </cell>
          <cell r="G23">
            <v>7068.69</v>
          </cell>
          <cell r="O23">
            <v>5495.32</v>
          </cell>
        </row>
        <row r="24">
          <cell r="B24" t="str">
            <v>AII 8</v>
          </cell>
          <cell r="O24">
            <v>487780.46</v>
          </cell>
        </row>
        <row r="25">
          <cell r="B25" t="str">
            <v>AII 7</v>
          </cell>
          <cell r="G25">
            <v>2240807.4300000002</v>
          </cell>
          <cell r="O25">
            <v>3581236.69</v>
          </cell>
        </row>
        <row r="26">
          <cell r="B26" t="str">
            <v>AII 7</v>
          </cell>
          <cell r="G26">
            <v>19799.28</v>
          </cell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B29" t="str">
            <v>BI 1</v>
          </cell>
          <cell r="G29">
            <v>4594.28</v>
          </cell>
          <cell r="O29">
            <v>177111.41</v>
          </cell>
        </row>
        <row r="30">
          <cell r="O30">
            <v>0</v>
          </cell>
        </row>
        <row r="31">
          <cell r="B31" t="str">
            <v>BI 2</v>
          </cell>
          <cell r="G31">
            <v>172704.58</v>
          </cell>
          <cell r="O31">
            <v>198759.72</v>
          </cell>
        </row>
        <row r="32">
          <cell r="O32">
            <v>0</v>
          </cell>
        </row>
        <row r="33">
          <cell r="B33" t="str">
            <v>BII 1</v>
          </cell>
          <cell r="G33">
            <v>2304225.73</v>
          </cell>
          <cell r="O33">
            <v>235379.18</v>
          </cell>
        </row>
        <row r="34">
          <cell r="B34" t="str">
            <v>BII 1</v>
          </cell>
          <cell r="G34">
            <v>503093.39</v>
          </cell>
          <cell r="O34">
            <v>275596.78000000003</v>
          </cell>
        </row>
        <row r="35">
          <cell r="B35" t="str">
            <v>BII 1</v>
          </cell>
          <cell r="G35">
            <v>2900971.11</v>
          </cell>
          <cell r="O35">
            <v>1450000</v>
          </cell>
          <cell r="Q35">
            <v>1960975.96</v>
          </cell>
        </row>
        <row r="36">
          <cell r="B36" t="str">
            <v>BII 6</v>
          </cell>
          <cell r="G36">
            <v>472.11</v>
          </cell>
          <cell r="O36">
            <v>0</v>
          </cell>
        </row>
        <row r="37">
          <cell r="B37" t="str">
            <v>BII 6</v>
          </cell>
          <cell r="G37">
            <v>15003.5</v>
          </cell>
          <cell r="O37">
            <v>0</v>
          </cell>
        </row>
        <row r="38">
          <cell r="B38" t="str">
            <v>BII 2</v>
          </cell>
          <cell r="G38">
            <v>163022.74</v>
          </cell>
          <cell r="O38">
            <v>137152.46</v>
          </cell>
        </row>
        <row r="39">
          <cell r="B39" t="str">
            <v>BII 3</v>
          </cell>
          <cell r="G39">
            <v>4693.21</v>
          </cell>
          <cell r="O39">
            <v>3809.76</v>
          </cell>
        </row>
        <row r="40">
          <cell r="B40" t="str">
            <v>BII 4</v>
          </cell>
          <cell r="G40">
            <v>429277</v>
          </cell>
          <cell r="O40">
            <v>768906.35</v>
          </cell>
        </row>
        <row r="41">
          <cell r="B41" t="str">
            <v>BII 4</v>
          </cell>
          <cell r="O41">
            <v>19504</v>
          </cell>
        </row>
        <row r="42">
          <cell r="B42" t="str">
            <v>BII 6</v>
          </cell>
          <cell r="G42">
            <v>180307.49</v>
          </cell>
          <cell r="O42">
            <v>194209.89</v>
          </cell>
        </row>
        <row r="43">
          <cell r="B43" t="str">
            <v>BII 6</v>
          </cell>
          <cell r="O43">
            <v>37504</v>
          </cell>
        </row>
        <row r="44">
          <cell r="B44" t="str">
            <v>BII 6</v>
          </cell>
          <cell r="G44">
            <v>6104.71</v>
          </cell>
          <cell r="O44">
            <v>15.38</v>
          </cell>
        </row>
        <row r="45">
          <cell r="B45" t="str">
            <v>BII 6</v>
          </cell>
          <cell r="G45">
            <v>222511.58</v>
          </cell>
          <cell r="O45">
            <v>615104.36</v>
          </cell>
        </row>
        <row r="46">
          <cell r="B46" t="str">
            <v>BII 6</v>
          </cell>
          <cell r="G46">
            <v>98424.21</v>
          </cell>
          <cell r="O46">
            <v>3789.22</v>
          </cell>
        </row>
        <row r="47">
          <cell r="B47" t="str">
            <v>BII 6</v>
          </cell>
          <cell r="O47">
            <v>188154.48</v>
          </cell>
        </row>
        <row r="48">
          <cell r="B48" t="str">
            <v>BII 6</v>
          </cell>
          <cell r="G48">
            <v>388914.1</v>
          </cell>
          <cell r="O48">
            <v>20660.939999999999</v>
          </cell>
        </row>
        <row r="49">
          <cell r="B49" t="str">
            <v>BII 6</v>
          </cell>
          <cell r="O49">
            <v>1776973.69</v>
          </cell>
        </row>
        <row r="50">
          <cell r="B50" t="str">
            <v>BII 6</v>
          </cell>
          <cell r="G50">
            <v>6261.43</v>
          </cell>
          <cell r="O50">
            <v>17587.96</v>
          </cell>
          <cell r="Q50">
            <v>3403363.1099999994</v>
          </cell>
        </row>
        <row r="51">
          <cell r="B51" t="str">
            <v>BII 6</v>
          </cell>
          <cell r="O51">
            <v>0</v>
          </cell>
        </row>
        <row r="52">
          <cell r="B52" t="str">
            <v>BII 5</v>
          </cell>
          <cell r="G52">
            <v>2960</v>
          </cell>
          <cell r="O52">
            <v>19756</v>
          </cell>
          <cell r="Q52">
            <v>19756</v>
          </cell>
        </row>
        <row r="53">
          <cell r="B53" t="str">
            <v>BII 6</v>
          </cell>
          <cell r="O53">
            <v>0</v>
          </cell>
        </row>
        <row r="54">
          <cell r="B54" t="str">
            <v>BII 6</v>
          </cell>
          <cell r="O54">
            <v>0</v>
          </cell>
        </row>
        <row r="55">
          <cell r="B55" t="str">
            <v>BII 6</v>
          </cell>
          <cell r="G55">
            <v>41735.86</v>
          </cell>
          <cell r="O55">
            <v>78635.259999999995</v>
          </cell>
        </row>
        <row r="56">
          <cell r="B56" t="str">
            <v>BII 6</v>
          </cell>
          <cell r="G56">
            <v>54499.56</v>
          </cell>
          <cell r="O56">
            <v>367.03</v>
          </cell>
        </row>
        <row r="57">
          <cell r="B57" t="str">
            <v>BII 6</v>
          </cell>
          <cell r="G57">
            <v>17045.599999999999</v>
          </cell>
          <cell r="O57">
            <v>14394.5</v>
          </cell>
        </row>
        <row r="58">
          <cell r="B58" t="str">
            <v>BII 6</v>
          </cell>
          <cell r="O58">
            <v>64496</v>
          </cell>
        </row>
        <row r="59">
          <cell r="O59">
            <v>0</v>
          </cell>
          <cell r="Q59">
            <v>175480.75</v>
          </cell>
        </row>
        <row r="60">
          <cell r="B60" t="str">
            <v>BIV 1</v>
          </cell>
          <cell r="G60">
            <v>11569.31</v>
          </cell>
          <cell r="O60">
            <v>13640.57</v>
          </cell>
        </row>
        <row r="61">
          <cell r="B61" t="str">
            <v>BIV 2</v>
          </cell>
          <cell r="G61">
            <v>25026026.609999999</v>
          </cell>
          <cell r="O61">
            <v>40182558.839999996</v>
          </cell>
        </row>
        <row r="62">
          <cell r="B62" t="str">
            <v>BIV 3</v>
          </cell>
          <cell r="O62">
            <v>0</v>
          </cell>
        </row>
        <row r="63">
          <cell r="B63" t="str">
            <v>BIV 1</v>
          </cell>
          <cell r="G63">
            <v>1164.82</v>
          </cell>
          <cell r="O63">
            <v>55</v>
          </cell>
        </row>
        <row r="64">
          <cell r="B64" t="str">
            <v>BIV 1</v>
          </cell>
          <cell r="O64">
            <v>259887.73</v>
          </cell>
        </row>
        <row r="65">
          <cell r="B65" t="str">
            <v>BIV 1</v>
          </cell>
          <cell r="G65">
            <v>2594</v>
          </cell>
          <cell r="O65">
            <v>2695.57</v>
          </cell>
        </row>
        <row r="66">
          <cell r="B66" t="str">
            <v>BIV 1</v>
          </cell>
          <cell r="G66">
            <v>2176.9699999999998</v>
          </cell>
          <cell r="O66">
            <v>2096.14</v>
          </cell>
        </row>
        <row r="67">
          <cell r="B67" t="str">
            <v>BIV 1</v>
          </cell>
          <cell r="G67">
            <v>16258.73</v>
          </cell>
          <cell r="O67">
            <v>3534.95</v>
          </cell>
        </row>
        <row r="68">
          <cell r="B68" t="str">
            <v>BIV 1</v>
          </cell>
          <cell r="G68">
            <v>3796.39</v>
          </cell>
          <cell r="O68">
            <v>3576.35</v>
          </cell>
        </row>
        <row r="69">
          <cell r="B69" t="str">
            <v>BIV 1</v>
          </cell>
          <cell r="G69">
            <v>6171.28</v>
          </cell>
          <cell r="O69">
            <v>5008.5600000000004</v>
          </cell>
        </row>
        <row r="70">
          <cell r="B70" t="str">
            <v>BIV 1</v>
          </cell>
          <cell r="G70">
            <v>16159.95</v>
          </cell>
          <cell r="O70">
            <v>4590.42</v>
          </cell>
        </row>
        <row r="71">
          <cell r="B71" t="str">
            <v>BIV 1</v>
          </cell>
          <cell r="G71">
            <v>15476.3</v>
          </cell>
          <cell r="O71">
            <v>5363.01</v>
          </cell>
        </row>
        <row r="72">
          <cell r="B72" t="str">
            <v>BIV 1</v>
          </cell>
          <cell r="G72">
            <v>8006.04</v>
          </cell>
          <cell r="O72">
            <v>3448.09</v>
          </cell>
        </row>
        <row r="73">
          <cell r="B73" t="str">
            <v>BIV 1</v>
          </cell>
          <cell r="G73">
            <v>8435.2900000000009</v>
          </cell>
          <cell r="O73">
            <v>4454.8599999999997</v>
          </cell>
        </row>
        <row r="74">
          <cell r="B74" t="str">
            <v>BIV 1</v>
          </cell>
          <cell r="G74">
            <v>1438.97</v>
          </cell>
          <cell r="O74">
            <v>8231.25</v>
          </cell>
        </row>
        <row r="75">
          <cell r="B75" t="str">
            <v>BIV 1</v>
          </cell>
          <cell r="O75">
            <v>0.32</v>
          </cell>
        </row>
        <row r="76">
          <cell r="B76" t="str">
            <v>BIV 1</v>
          </cell>
          <cell r="O76">
            <v>12.84</v>
          </cell>
        </row>
        <row r="77">
          <cell r="B77" t="str">
            <v>BIV 1</v>
          </cell>
          <cell r="O77">
            <v>208.86</v>
          </cell>
        </row>
        <row r="78">
          <cell r="O78">
            <v>0</v>
          </cell>
        </row>
        <row r="79">
          <cell r="O79">
            <v>0</v>
          </cell>
        </row>
        <row r="80">
          <cell r="B80" t="str">
            <v>C</v>
          </cell>
          <cell r="G80">
            <v>83203.3</v>
          </cell>
          <cell r="O80">
            <v>2066.39</v>
          </cell>
        </row>
        <row r="81">
          <cell r="O81">
            <v>0</v>
          </cell>
        </row>
        <row r="82">
          <cell r="O82">
            <v>0</v>
          </cell>
        </row>
        <row r="83">
          <cell r="B83" t="str">
            <v>-AII 2b</v>
          </cell>
          <cell r="G83">
            <v>4678763.51</v>
          </cell>
          <cell r="O83">
            <v>8436514.6979999989</v>
          </cell>
        </row>
        <row r="84">
          <cell r="B84" t="str">
            <v>-AII 2a</v>
          </cell>
          <cell r="G84">
            <v>2450</v>
          </cell>
          <cell r="O84">
            <v>0</v>
          </cell>
        </row>
        <row r="85">
          <cell r="B85" t="str">
            <v>-AII 3</v>
          </cell>
          <cell r="G85">
            <v>305063.74</v>
          </cell>
          <cell r="O85">
            <v>654742.68999999994</v>
          </cell>
        </row>
        <row r="86">
          <cell r="B86" t="str">
            <v>-AII 3</v>
          </cell>
          <cell r="G86">
            <v>3188423.45</v>
          </cell>
          <cell r="O86">
            <v>3694967.43</v>
          </cell>
        </row>
        <row r="87">
          <cell r="B87" t="str">
            <v>-AII 3</v>
          </cell>
          <cell r="O87">
            <v>3247153.1599999992</v>
          </cell>
        </row>
        <row r="88">
          <cell r="B88" t="str">
            <v>-AII 4</v>
          </cell>
          <cell r="G88">
            <v>16262116.6</v>
          </cell>
          <cell r="O88">
            <v>19279593.350000001</v>
          </cell>
        </row>
        <row r="89">
          <cell r="B89" t="str">
            <v>-AII 4</v>
          </cell>
          <cell r="G89">
            <v>5177252.5199999996</v>
          </cell>
          <cell r="O89">
            <v>6073764.2300000004</v>
          </cell>
        </row>
        <row r="90">
          <cell r="B90" t="str">
            <v>-AII 4</v>
          </cell>
          <cell r="O90">
            <v>4436851.2510000002</v>
          </cell>
        </row>
        <row r="91">
          <cell r="B91" t="str">
            <v>-AII 5</v>
          </cell>
          <cell r="G91">
            <v>2221261.15</v>
          </cell>
          <cell r="O91">
            <v>2697295.4399999995</v>
          </cell>
        </row>
        <row r="92">
          <cell r="B92" t="str">
            <v>-AII 7</v>
          </cell>
          <cell r="G92">
            <v>19799.28</v>
          </cell>
          <cell r="O92">
            <v>0</v>
          </cell>
        </row>
        <row r="93">
          <cell r="B93" t="str">
            <v>-AII 6</v>
          </cell>
          <cell r="G93">
            <v>339807.66</v>
          </cell>
          <cell r="O93">
            <v>511777.54</v>
          </cell>
        </row>
        <row r="94">
          <cell r="B94" t="str">
            <v>-AII 6</v>
          </cell>
          <cell r="G94">
            <v>1344081.54</v>
          </cell>
          <cell r="O94">
            <v>1084388.3999999999</v>
          </cell>
        </row>
        <row r="95">
          <cell r="B95" t="str">
            <v>-AII 6</v>
          </cell>
          <cell r="G95">
            <v>1860492.3</v>
          </cell>
          <cell r="O95">
            <v>3291208.85</v>
          </cell>
        </row>
        <row r="96">
          <cell r="B96" t="str">
            <v>-AII 7</v>
          </cell>
          <cell r="G96">
            <v>134916.89000000001</v>
          </cell>
          <cell r="O96">
            <v>31421.97</v>
          </cell>
        </row>
        <row r="97">
          <cell r="B97" t="str">
            <v>-AII 7</v>
          </cell>
          <cell r="G97">
            <v>2140623.94</v>
          </cell>
          <cell r="O97">
            <v>3348120.94</v>
          </cell>
        </row>
        <row r="98">
          <cell r="B98" t="str">
            <v>-AII 7</v>
          </cell>
          <cell r="G98">
            <v>6686.06</v>
          </cell>
          <cell r="O98">
            <v>5495.32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B101" t="str">
            <v>AI</v>
          </cell>
          <cell r="G101">
            <v>466.8</v>
          </cell>
          <cell r="O101">
            <v>0</v>
          </cell>
        </row>
        <row r="102">
          <cell r="B102" t="str">
            <v>AI</v>
          </cell>
          <cell r="G102">
            <v>3627832.21</v>
          </cell>
          <cell r="O102">
            <v>0</v>
          </cell>
        </row>
        <row r="103">
          <cell r="B103" t="str">
            <v>AII</v>
          </cell>
          <cell r="G103">
            <v>57132.3</v>
          </cell>
          <cell r="O103">
            <v>0</v>
          </cell>
        </row>
        <row r="104">
          <cell r="B104" t="str">
            <v>AIII</v>
          </cell>
          <cell r="G104">
            <v>17847166.780000001</v>
          </cell>
          <cell r="O104">
            <v>17847166.780000001</v>
          </cell>
        </row>
        <row r="105">
          <cell r="B105" t="str">
            <v>AI</v>
          </cell>
          <cell r="G105">
            <v>217732.82</v>
          </cell>
          <cell r="O105">
            <v>0</v>
          </cell>
        </row>
        <row r="106">
          <cell r="O106">
            <v>0</v>
          </cell>
        </row>
        <row r="107">
          <cell r="B107" t="str">
            <v>AV</v>
          </cell>
          <cell r="O107">
            <v>0</v>
          </cell>
        </row>
        <row r="108">
          <cell r="B108" t="str">
            <v>AV</v>
          </cell>
          <cell r="G108">
            <v>3644591.81</v>
          </cell>
          <cell r="O108">
            <v>3644591.81</v>
          </cell>
        </row>
        <row r="109">
          <cell r="B109" t="str">
            <v>AV</v>
          </cell>
          <cell r="G109">
            <v>1222664.6200000001</v>
          </cell>
          <cell r="O109">
            <v>1222664.6200000001</v>
          </cell>
        </row>
        <row r="110">
          <cell r="O110">
            <v>0</v>
          </cell>
        </row>
        <row r="111">
          <cell r="B111" t="str">
            <v>AV</v>
          </cell>
          <cell r="G111">
            <v>818618.85</v>
          </cell>
          <cell r="O111">
            <v>41358361.211061053</v>
          </cell>
        </row>
        <row r="112">
          <cell r="B112" t="str">
            <v>AVI</v>
          </cell>
          <cell r="O112">
            <v>30402.548387669027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B115" t="str">
            <v>B2</v>
          </cell>
          <cell r="G115">
            <v>335357.31</v>
          </cell>
          <cell r="O115">
            <v>436814.38</v>
          </cell>
        </row>
        <row r="116">
          <cell r="O116">
            <v>0</v>
          </cell>
        </row>
        <row r="117">
          <cell r="B117" t="str">
            <v>B3</v>
          </cell>
          <cell r="G117">
            <v>136666</v>
          </cell>
          <cell r="O117">
            <v>199115.57</v>
          </cell>
        </row>
        <row r="118">
          <cell r="B118" t="str">
            <v>B3</v>
          </cell>
          <cell r="O118">
            <v>513664.64</v>
          </cell>
        </row>
        <row r="119">
          <cell r="B119" t="str">
            <v>B3</v>
          </cell>
          <cell r="G119">
            <v>1345257.7</v>
          </cell>
          <cell r="O119">
            <v>573746.43000000005</v>
          </cell>
        </row>
        <row r="120">
          <cell r="B120" t="str">
            <v>B3</v>
          </cell>
          <cell r="G120">
            <v>8017.19</v>
          </cell>
          <cell r="O120">
            <v>8017.19</v>
          </cell>
        </row>
        <row r="121">
          <cell r="B121" t="str">
            <v>B3</v>
          </cell>
          <cell r="G121">
            <v>438665.58</v>
          </cell>
          <cell r="O121">
            <v>365993.3</v>
          </cell>
        </row>
        <row r="122">
          <cell r="B122" t="str">
            <v>B3</v>
          </cell>
          <cell r="G122">
            <v>303202.84999999998</v>
          </cell>
          <cell r="O122">
            <v>314066.71999999997</v>
          </cell>
        </row>
        <row r="123">
          <cell r="B123" t="str">
            <v>B3</v>
          </cell>
          <cell r="G123">
            <v>142721.35999999999</v>
          </cell>
          <cell r="O123">
            <v>114693.83</v>
          </cell>
        </row>
        <row r="124">
          <cell r="B124" t="str">
            <v>B3</v>
          </cell>
          <cell r="G124">
            <v>1158455.3700000001</v>
          </cell>
          <cell r="O124">
            <v>3828408.33</v>
          </cell>
        </row>
        <row r="125">
          <cell r="B125" t="str">
            <v>B3</v>
          </cell>
          <cell r="G125">
            <v>102381.1</v>
          </cell>
          <cell r="O125">
            <v>108984.9</v>
          </cell>
        </row>
        <row r="126">
          <cell r="O126">
            <v>0</v>
          </cell>
        </row>
        <row r="127">
          <cell r="O127">
            <v>0</v>
          </cell>
        </row>
        <row r="128">
          <cell r="B128" t="str">
            <v>D6</v>
          </cell>
          <cell r="G128">
            <v>148196.51</v>
          </cell>
          <cell r="O128">
            <v>167.27</v>
          </cell>
        </row>
        <row r="129">
          <cell r="B129" t="str">
            <v>D10</v>
          </cell>
          <cell r="G129">
            <v>120745.3</v>
          </cell>
          <cell r="O129">
            <v>16847.05</v>
          </cell>
        </row>
        <row r="130">
          <cell r="B130" t="str">
            <v>D2</v>
          </cell>
          <cell r="G130">
            <v>15092.42</v>
          </cell>
          <cell r="O130">
            <v>4093.98</v>
          </cell>
          <cell r="Q130">
            <v>4093.98</v>
          </cell>
        </row>
        <row r="131">
          <cell r="B131" t="str">
            <v>D10</v>
          </cell>
          <cell r="G131">
            <v>188006.03</v>
          </cell>
          <cell r="O131">
            <v>59220.89</v>
          </cell>
        </row>
        <row r="132">
          <cell r="B132" t="str">
            <v>D3</v>
          </cell>
          <cell r="G132">
            <v>79423.89</v>
          </cell>
          <cell r="O132">
            <v>0</v>
          </cell>
        </row>
        <row r="133">
          <cell r="B133" t="str">
            <v>D10</v>
          </cell>
          <cell r="G133">
            <v>478567.7</v>
          </cell>
          <cell r="O133">
            <v>0</v>
          </cell>
        </row>
        <row r="134">
          <cell r="B134" t="str">
            <v>D4</v>
          </cell>
          <cell r="G134">
            <v>1558613.08</v>
          </cell>
          <cell r="O134">
            <v>232638.55</v>
          </cell>
        </row>
        <row r="135">
          <cell r="B135" t="str">
            <v>D5</v>
          </cell>
          <cell r="G135">
            <v>100565.21</v>
          </cell>
          <cell r="O135">
            <v>39561.99</v>
          </cell>
        </row>
        <row r="136">
          <cell r="B136" t="str">
            <v>D10</v>
          </cell>
          <cell r="G136">
            <v>5914.99</v>
          </cell>
          <cell r="O136">
            <v>0</v>
          </cell>
        </row>
        <row r="137">
          <cell r="B137" t="str">
            <v>D10</v>
          </cell>
          <cell r="G137">
            <v>60440.94</v>
          </cell>
          <cell r="O137">
            <v>165651.68</v>
          </cell>
        </row>
        <row r="138">
          <cell r="B138" t="str">
            <v>D6</v>
          </cell>
          <cell r="G138">
            <v>1310437.1200000001</v>
          </cell>
          <cell r="O138">
            <v>1646529.21</v>
          </cell>
        </row>
        <row r="139">
          <cell r="B139" t="str">
            <v>D6</v>
          </cell>
          <cell r="O139">
            <v>636202.23999999999</v>
          </cell>
        </row>
        <row r="140">
          <cell r="B140" t="str">
            <v>D6</v>
          </cell>
          <cell r="G140">
            <v>345380.11</v>
          </cell>
          <cell r="O140">
            <v>367540.26</v>
          </cell>
        </row>
        <row r="141">
          <cell r="B141" t="str">
            <v>D6</v>
          </cell>
          <cell r="O141">
            <v>0</v>
          </cell>
          <cell r="Q141">
            <v>3805339.52</v>
          </cell>
        </row>
        <row r="142">
          <cell r="B142" t="str">
            <v>D6</v>
          </cell>
          <cell r="G142">
            <v>462.11</v>
          </cell>
          <cell r="O142">
            <v>0</v>
          </cell>
        </row>
        <row r="143">
          <cell r="B143" t="str">
            <v>D6</v>
          </cell>
          <cell r="O143">
            <v>259887.73</v>
          </cell>
        </row>
        <row r="144">
          <cell r="B144" t="str">
            <v>D6</v>
          </cell>
          <cell r="O144">
            <v>640980.38</v>
          </cell>
        </row>
        <row r="145">
          <cell r="O145">
            <v>0</v>
          </cell>
        </row>
        <row r="146">
          <cell r="B146" t="str">
            <v>D10</v>
          </cell>
          <cell r="G146">
            <v>278963.01</v>
          </cell>
          <cell r="O146">
            <v>2081768.37</v>
          </cell>
        </row>
        <row r="147">
          <cell r="B147" t="str">
            <v>D10</v>
          </cell>
          <cell r="G147">
            <v>22655.39</v>
          </cell>
          <cell r="O147">
            <v>24640.48</v>
          </cell>
        </row>
        <row r="148">
          <cell r="B148" t="str">
            <v>D10</v>
          </cell>
          <cell r="G148">
            <v>4754.67</v>
          </cell>
          <cell r="O148">
            <v>0</v>
          </cell>
        </row>
        <row r="149">
          <cell r="B149" t="str">
            <v>D10</v>
          </cell>
          <cell r="G149">
            <v>18591.64</v>
          </cell>
          <cell r="O149">
            <v>0</v>
          </cell>
        </row>
        <row r="150">
          <cell r="B150" t="str">
            <v>D10</v>
          </cell>
          <cell r="G150">
            <v>61821.78</v>
          </cell>
          <cell r="O150">
            <v>0</v>
          </cell>
          <cell r="Q150">
            <v>2405048.39</v>
          </cell>
        </row>
        <row r="151">
          <cell r="O151">
            <v>0</v>
          </cell>
        </row>
        <row r="152">
          <cell r="B152" t="str">
            <v>D9</v>
          </cell>
          <cell r="G152">
            <v>13672</v>
          </cell>
          <cell r="O152">
            <v>6511</v>
          </cell>
        </row>
        <row r="153">
          <cell r="B153" t="str">
            <v>D9</v>
          </cell>
          <cell r="G153">
            <v>90492.65</v>
          </cell>
          <cell r="O153">
            <v>74529.11</v>
          </cell>
        </row>
        <row r="154">
          <cell r="B154" t="str">
            <v>D9</v>
          </cell>
          <cell r="G154">
            <v>613021.82999999996</v>
          </cell>
          <cell r="O154">
            <v>636061.48</v>
          </cell>
        </row>
        <row r="155">
          <cell r="B155" t="str">
            <v>D9</v>
          </cell>
          <cell r="O155">
            <v>0</v>
          </cell>
        </row>
        <row r="156">
          <cell r="B156" t="str">
            <v>D9</v>
          </cell>
          <cell r="G156">
            <v>61110.13</v>
          </cell>
          <cell r="O156">
            <v>458676.3</v>
          </cell>
        </row>
        <row r="157">
          <cell r="B157" t="str">
            <v>D9</v>
          </cell>
          <cell r="O157">
            <v>115.38</v>
          </cell>
          <cell r="Q157">
            <v>1175893.2699999998</v>
          </cell>
        </row>
        <row r="158">
          <cell r="O158">
            <v>0</v>
          </cell>
        </row>
        <row r="159">
          <cell r="B159" t="str">
            <v>D8</v>
          </cell>
          <cell r="G159">
            <v>78680.38</v>
          </cell>
          <cell r="O159">
            <v>0</v>
          </cell>
        </row>
        <row r="160">
          <cell r="B160" t="str">
            <v>D8</v>
          </cell>
          <cell r="O160">
            <v>13085</v>
          </cell>
        </row>
        <row r="161">
          <cell r="B161" t="str">
            <v>D8</v>
          </cell>
          <cell r="G161">
            <v>142833.09</v>
          </cell>
          <cell r="O161">
            <v>145091.04</v>
          </cell>
        </row>
        <row r="162">
          <cell r="B162" t="str">
            <v>D8</v>
          </cell>
          <cell r="G162">
            <v>48.67</v>
          </cell>
          <cell r="O162">
            <v>0</v>
          </cell>
        </row>
        <row r="163">
          <cell r="B163" t="str">
            <v>D8</v>
          </cell>
          <cell r="G163">
            <v>686.87</v>
          </cell>
          <cell r="O163">
            <v>0</v>
          </cell>
        </row>
        <row r="164">
          <cell r="B164" t="str">
            <v>D8</v>
          </cell>
          <cell r="O164">
            <v>45574.23</v>
          </cell>
        </row>
        <row r="165">
          <cell r="B165" t="str">
            <v>D8</v>
          </cell>
          <cell r="G165">
            <v>483148.68</v>
          </cell>
          <cell r="O165">
            <v>405794.4</v>
          </cell>
        </row>
        <row r="166">
          <cell r="B166" t="str">
            <v>D8</v>
          </cell>
          <cell r="O166">
            <v>0</v>
          </cell>
        </row>
        <row r="167">
          <cell r="B167" t="str">
            <v>D8</v>
          </cell>
          <cell r="O167">
            <v>0</v>
          </cell>
          <cell r="Q167">
            <v>609544.67000000004</v>
          </cell>
        </row>
        <row r="168">
          <cell r="O168">
            <v>0</v>
          </cell>
        </row>
        <row r="169">
          <cell r="B169" t="str">
            <v>D10</v>
          </cell>
          <cell r="O169">
            <v>0</v>
          </cell>
        </row>
        <row r="170">
          <cell r="B170" t="str">
            <v>D10</v>
          </cell>
          <cell r="G170">
            <v>15075</v>
          </cell>
          <cell r="O170">
            <v>5591.18</v>
          </cell>
        </row>
        <row r="171">
          <cell r="B171" t="str">
            <v>D10</v>
          </cell>
          <cell r="O171">
            <v>0</v>
          </cell>
        </row>
        <row r="172">
          <cell r="B172" t="str">
            <v>D10</v>
          </cell>
          <cell r="G172">
            <v>236.13</v>
          </cell>
          <cell r="O172">
            <v>2510.4499999999998</v>
          </cell>
        </row>
        <row r="173">
          <cell r="B173" t="str">
            <v>D10</v>
          </cell>
          <cell r="O173">
            <v>0</v>
          </cell>
        </row>
        <row r="174">
          <cell r="B174" t="str">
            <v>D10</v>
          </cell>
          <cell r="O174">
            <v>28247.62</v>
          </cell>
        </row>
        <row r="175">
          <cell r="B175" t="str">
            <v>D10</v>
          </cell>
          <cell r="O175">
            <v>1600</v>
          </cell>
        </row>
        <row r="176">
          <cell r="B176" t="str">
            <v>D10</v>
          </cell>
          <cell r="O176">
            <v>0</v>
          </cell>
        </row>
        <row r="177">
          <cell r="B177" t="str">
            <v>D10</v>
          </cell>
          <cell r="O177">
            <v>802.56</v>
          </cell>
        </row>
        <row r="178">
          <cell r="B178" t="str">
            <v>D10</v>
          </cell>
          <cell r="G178">
            <v>690.15</v>
          </cell>
          <cell r="O178">
            <v>0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B181" t="str">
            <v>E</v>
          </cell>
          <cell r="G181">
            <v>3047.9</v>
          </cell>
          <cell r="O181">
            <v>136761.87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B184" t="str">
            <v>E</v>
          </cell>
          <cell r="G184">
            <v>1767782.71</v>
          </cell>
          <cell r="O184">
            <v>4294225.6950000003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B187" t="str">
            <v>-BII 6</v>
          </cell>
          <cell r="G187">
            <v>185803.2</v>
          </cell>
          <cell r="O187">
            <v>362421.42</v>
          </cell>
        </row>
        <row r="188">
          <cell r="B188" t="str">
            <v>-BII 2</v>
          </cell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B192" t="str">
            <v>B 1</v>
          </cell>
          <cell r="G192">
            <v>1488.09</v>
          </cell>
          <cell r="O192">
            <v>44160</v>
          </cell>
        </row>
        <row r="193">
          <cell r="B193" t="str">
            <v>B 1</v>
          </cell>
          <cell r="G193">
            <v>14</v>
          </cell>
          <cell r="O193">
            <v>78110.070000000007</v>
          </cell>
        </row>
        <row r="194">
          <cell r="B194" t="str">
            <v>B 1</v>
          </cell>
          <cell r="G194">
            <v>100276.85</v>
          </cell>
          <cell r="O194">
            <v>371765.57</v>
          </cell>
        </row>
        <row r="195">
          <cell r="B195" t="str">
            <v>B 1</v>
          </cell>
          <cell r="G195">
            <v>187306.43</v>
          </cell>
          <cell r="O195">
            <v>266658.20238095237</v>
          </cell>
        </row>
        <row r="196">
          <cell r="B196" t="str">
            <v>B 1</v>
          </cell>
          <cell r="G196">
            <v>190.8</v>
          </cell>
          <cell r="O196">
            <v>91856.81</v>
          </cell>
        </row>
        <row r="197">
          <cell r="B197" t="str">
            <v>B 1</v>
          </cell>
          <cell r="G197">
            <v>78340.66</v>
          </cell>
          <cell r="O197">
            <v>99251.927857142873</v>
          </cell>
        </row>
        <row r="198">
          <cell r="B198" t="str">
            <v>B 1</v>
          </cell>
          <cell r="G198">
            <v>570.27</v>
          </cell>
          <cell r="O198">
            <v>36960.600000000006</v>
          </cell>
        </row>
        <row r="199">
          <cell r="O199">
            <v>0</v>
          </cell>
        </row>
        <row r="200">
          <cell r="B200" t="str">
            <v>B 1</v>
          </cell>
          <cell r="O200">
            <v>827.63129251700684</v>
          </cell>
        </row>
        <row r="201">
          <cell r="B201" t="str">
            <v>B 1</v>
          </cell>
          <cell r="G201">
            <v>1837.96</v>
          </cell>
          <cell r="O201">
            <v>50748</v>
          </cell>
        </row>
        <row r="202">
          <cell r="B202" t="str">
            <v>B 1</v>
          </cell>
          <cell r="G202">
            <v>4782.6099999999997</v>
          </cell>
          <cell r="O202">
            <v>8304.695646258504</v>
          </cell>
        </row>
        <row r="203">
          <cell r="B203" t="str">
            <v>B 1</v>
          </cell>
          <cell r="G203">
            <v>393.23</v>
          </cell>
          <cell r="O203">
            <v>116.71309523809525</v>
          </cell>
        </row>
        <row r="204">
          <cell r="B204" t="str">
            <v>B 1</v>
          </cell>
          <cell r="G204">
            <v>78119.179999999993</v>
          </cell>
          <cell r="O204">
            <v>171719.75272108844</v>
          </cell>
        </row>
        <row r="205">
          <cell r="B205" t="str">
            <v>B 1</v>
          </cell>
          <cell r="G205">
            <v>1200.24</v>
          </cell>
          <cell r="O205">
            <v>0</v>
          </cell>
        </row>
        <row r="206">
          <cell r="B206" t="str">
            <v>B 1</v>
          </cell>
          <cell r="G206">
            <v>19664.89</v>
          </cell>
          <cell r="O206">
            <v>25717.9</v>
          </cell>
        </row>
        <row r="207">
          <cell r="B207" t="str">
            <v>B 1</v>
          </cell>
          <cell r="G207">
            <v>3200</v>
          </cell>
          <cell r="O207">
            <v>1756.593537414966</v>
          </cell>
        </row>
        <row r="208">
          <cell r="B208" t="str">
            <v>B 1</v>
          </cell>
          <cell r="G208">
            <v>568.9</v>
          </cell>
          <cell r="O208">
            <v>445.26275510204079</v>
          </cell>
        </row>
        <row r="209">
          <cell r="B209" t="str">
            <v>B 1</v>
          </cell>
          <cell r="G209">
            <v>9441.58</v>
          </cell>
          <cell r="O209">
            <v>0</v>
          </cell>
        </row>
        <row r="210">
          <cell r="B210" t="str">
            <v>B 1</v>
          </cell>
          <cell r="G210">
            <v>16828.62</v>
          </cell>
          <cell r="O210">
            <v>1064.0743197278912</v>
          </cell>
        </row>
        <row r="211">
          <cell r="O211">
            <v>0</v>
          </cell>
        </row>
        <row r="212">
          <cell r="B212" t="str">
            <v>B 14a</v>
          </cell>
          <cell r="G212">
            <v>7944.2</v>
          </cell>
          <cell r="O212">
            <v>339637.78</v>
          </cell>
        </row>
        <row r="213">
          <cell r="O213">
            <v>0</v>
          </cell>
        </row>
        <row r="214">
          <cell r="B214" t="str">
            <v>B 14b</v>
          </cell>
          <cell r="G214">
            <v>146008.66</v>
          </cell>
          <cell r="O214">
            <v>140718.15</v>
          </cell>
        </row>
        <row r="215">
          <cell r="O215">
            <v>0</v>
          </cell>
        </row>
        <row r="216">
          <cell r="O216">
            <v>0</v>
          </cell>
        </row>
        <row r="217">
          <cell r="B217" t="str">
            <v>B 1</v>
          </cell>
          <cell r="G217">
            <v>156.91999999999999</v>
          </cell>
          <cell r="O217">
            <v>444.79098639455776</v>
          </cell>
        </row>
        <row r="218">
          <cell r="B218" t="str">
            <v>B 1</v>
          </cell>
          <cell r="O218">
            <v>4940.4336734693879</v>
          </cell>
        </row>
        <row r="219">
          <cell r="B219" t="str">
            <v>B 1</v>
          </cell>
          <cell r="G219">
            <v>213.87</v>
          </cell>
          <cell r="O219">
            <v>3.7244897959183669</v>
          </cell>
        </row>
        <row r="220">
          <cell r="B220" t="str">
            <v>B 1</v>
          </cell>
          <cell r="G220">
            <v>2539.7800000000002</v>
          </cell>
          <cell r="O220">
            <v>312.68333333333334</v>
          </cell>
        </row>
        <row r="221">
          <cell r="B221" t="str">
            <v>B 1</v>
          </cell>
          <cell r="G221">
            <v>12070.04</v>
          </cell>
          <cell r="O221">
            <v>18857.886394557823</v>
          </cell>
        </row>
        <row r="222">
          <cell r="B222" t="str">
            <v>B 1</v>
          </cell>
          <cell r="G222">
            <v>288.19</v>
          </cell>
          <cell r="O222">
            <v>0</v>
          </cell>
        </row>
        <row r="223">
          <cell r="B223" t="str">
            <v>B 1</v>
          </cell>
          <cell r="G223">
            <v>555.33000000000004</v>
          </cell>
          <cell r="O223">
            <v>267.17006802721085</v>
          </cell>
        </row>
        <row r="224">
          <cell r="B224" t="str">
            <v>B 1</v>
          </cell>
          <cell r="G224">
            <v>3698.88</v>
          </cell>
          <cell r="O224">
            <v>38255.165816326531</v>
          </cell>
        </row>
        <row r="225">
          <cell r="B225" t="str">
            <v>B 1</v>
          </cell>
          <cell r="G225">
            <v>886.54</v>
          </cell>
          <cell r="O225">
            <v>6.3937074829931975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B228" t="str">
            <v>B 2a</v>
          </cell>
          <cell r="G228">
            <v>9895.73</v>
          </cell>
          <cell r="O228">
            <v>0</v>
          </cell>
        </row>
        <row r="229">
          <cell r="B229" t="str">
            <v>B 2a</v>
          </cell>
          <cell r="G229">
            <v>6571.26</v>
          </cell>
          <cell r="O229">
            <v>714.90340136054431</v>
          </cell>
        </row>
        <row r="230">
          <cell r="B230" t="str">
            <v>B 2a</v>
          </cell>
          <cell r="O230">
            <v>5680</v>
          </cell>
        </row>
        <row r="231">
          <cell r="O231">
            <v>0</v>
          </cell>
        </row>
        <row r="232">
          <cell r="B232" t="str">
            <v>B 2c</v>
          </cell>
          <cell r="G232">
            <v>12370.8</v>
          </cell>
          <cell r="O232">
            <v>159.03571428571428</v>
          </cell>
        </row>
        <row r="233">
          <cell r="B233" t="str">
            <v>B 2c</v>
          </cell>
          <cell r="G233">
            <v>39302.550000000003</v>
          </cell>
          <cell r="O233">
            <v>0</v>
          </cell>
        </row>
        <row r="234">
          <cell r="B234" t="str">
            <v>B 2c</v>
          </cell>
          <cell r="G234">
            <v>1087.5</v>
          </cell>
          <cell r="O234">
            <v>0</v>
          </cell>
        </row>
        <row r="235">
          <cell r="B235" t="str">
            <v>B 2c</v>
          </cell>
          <cell r="O235">
            <v>0</v>
          </cell>
        </row>
        <row r="236">
          <cell r="B236" t="str">
            <v>B 2c</v>
          </cell>
          <cell r="G236">
            <v>2738.9</v>
          </cell>
          <cell r="O236">
            <v>0</v>
          </cell>
        </row>
        <row r="237">
          <cell r="O237">
            <v>0</v>
          </cell>
        </row>
        <row r="238">
          <cell r="O238">
            <v>0</v>
          </cell>
        </row>
        <row r="239">
          <cell r="B239" t="str">
            <v>B 2d</v>
          </cell>
          <cell r="O239">
            <v>0</v>
          </cell>
        </row>
        <row r="240">
          <cell r="B240" t="str">
            <v>B 2d</v>
          </cell>
          <cell r="O240">
            <v>0</v>
          </cell>
        </row>
        <row r="241">
          <cell r="O241">
            <v>0</v>
          </cell>
        </row>
        <row r="242">
          <cell r="O242">
            <v>0</v>
          </cell>
        </row>
        <row r="243">
          <cell r="B243" t="str">
            <v>B 2b</v>
          </cell>
          <cell r="O243">
            <v>0</v>
          </cell>
        </row>
        <row r="244">
          <cell r="B244" t="str">
            <v>B 2b</v>
          </cell>
          <cell r="G244">
            <v>3812.5</v>
          </cell>
          <cell r="O244">
            <v>39302</v>
          </cell>
        </row>
        <row r="245">
          <cell r="O245">
            <v>0</v>
          </cell>
        </row>
        <row r="246">
          <cell r="O246">
            <v>0</v>
          </cell>
        </row>
        <row r="247">
          <cell r="B247" t="str">
            <v>B 2d</v>
          </cell>
          <cell r="G247">
            <v>37882.5</v>
          </cell>
          <cell r="O247">
            <v>101602.70000000001</v>
          </cell>
        </row>
        <row r="248">
          <cell r="O248">
            <v>0</v>
          </cell>
        </row>
        <row r="249">
          <cell r="O249">
            <v>0</v>
          </cell>
        </row>
        <row r="250">
          <cell r="B250" t="str">
            <v>B 2d</v>
          </cell>
          <cell r="O250">
            <v>0</v>
          </cell>
        </row>
        <row r="251">
          <cell r="B251" t="str">
            <v>B 2d</v>
          </cell>
          <cell r="G251">
            <v>317080.56</v>
          </cell>
          <cell r="O251">
            <v>571973.01799999992</v>
          </cell>
        </row>
        <row r="252">
          <cell r="B252" t="str">
            <v>B 2d</v>
          </cell>
          <cell r="G252">
            <v>33111.379999999997</v>
          </cell>
          <cell r="O252">
            <v>108903.86700680271</v>
          </cell>
        </row>
        <row r="253">
          <cell r="B253" t="str">
            <v>B 2d</v>
          </cell>
          <cell r="G253">
            <v>6697.8</v>
          </cell>
          <cell r="O253">
            <v>545.26530612244892</v>
          </cell>
        </row>
        <row r="254">
          <cell r="B254" t="str">
            <v>B 2d</v>
          </cell>
          <cell r="O254">
            <v>0</v>
          </cell>
        </row>
        <row r="255">
          <cell r="B255" t="str">
            <v>B 2d</v>
          </cell>
          <cell r="G255">
            <v>4585.96</v>
          </cell>
          <cell r="O255">
            <v>21479.67</v>
          </cell>
        </row>
        <row r="256">
          <cell r="B256" t="str">
            <v>B 2d</v>
          </cell>
          <cell r="O256">
            <v>28.554421768707485</v>
          </cell>
        </row>
        <row r="257">
          <cell r="B257" t="str">
            <v>B 2d</v>
          </cell>
          <cell r="G257">
            <v>32456.06</v>
          </cell>
          <cell r="O257">
            <v>64855.755102040814</v>
          </cell>
        </row>
        <row r="258">
          <cell r="B258" t="str">
            <v>B 2d</v>
          </cell>
          <cell r="G258">
            <v>20976.12</v>
          </cell>
          <cell r="O258">
            <v>53220.07</v>
          </cell>
        </row>
        <row r="259">
          <cell r="B259" t="str">
            <v>B 2d</v>
          </cell>
          <cell r="O259">
            <v>0</v>
          </cell>
        </row>
        <row r="260">
          <cell r="B260" t="str">
            <v>B 2d</v>
          </cell>
          <cell r="O260">
            <v>226844.42533333332</v>
          </cell>
        </row>
        <row r="261">
          <cell r="B261" t="str">
            <v>B 2d</v>
          </cell>
          <cell r="G261">
            <v>11639.68</v>
          </cell>
          <cell r="O261">
            <v>10370</v>
          </cell>
        </row>
        <row r="262">
          <cell r="B262" t="str">
            <v>B 2d</v>
          </cell>
          <cell r="G262">
            <v>760.81</v>
          </cell>
          <cell r="O262">
            <v>1453.9663265306124</v>
          </cell>
        </row>
        <row r="263">
          <cell r="B263" t="str">
            <v>B 2d</v>
          </cell>
          <cell r="O263">
            <v>0</v>
          </cell>
        </row>
        <row r="264">
          <cell r="B264" t="str">
            <v>B 2d</v>
          </cell>
          <cell r="G264">
            <v>12200</v>
          </cell>
          <cell r="O264">
            <v>0</v>
          </cell>
        </row>
        <row r="265">
          <cell r="B265" t="str">
            <v>B 2d</v>
          </cell>
          <cell r="O265">
            <v>132464</v>
          </cell>
        </row>
        <row r="266">
          <cell r="B266" t="str">
            <v>B 2d</v>
          </cell>
          <cell r="O266">
            <v>103896.67891156464</v>
          </cell>
        </row>
        <row r="267">
          <cell r="B267" t="str">
            <v>B 2d</v>
          </cell>
          <cell r="O267">
            <v>0</v>
          </cell>
        </row>
        <row r="268">
          <cell r="B268" t="str">
            <v>B 2d</v>
          </cell>
          <cell r="O268">
            <v>75139.234959183683</v>
          </cell>
        </row>
        <row r="269">
          <cell r="B269" t="str">
            <v>B 2d</v>
          </cell>
          <cell r="O269">
            <v>0</v>
          </cell>
        </row>
        <row r="270">
          <cell r="B270" t="str">
            <v>B 2d</v>
          </cell>
          <cell r="O270">
            <v>0</v>
          </cell>
        </row>
        <row r="271">
          <cell r="B271" t="str">
            <v>B 2d</v>
          </cell>
          <cell r="G271">
            <v>368589.07</v>
          </cell>
          <cell r="O271">
            <v>1003662</v>
          </cell>
        </row>
        <row r="272">
          <cell r="O272">
            <v>0</v>
          </cell>
        </row>
        <row r="273">
          <cell r="B273" t="str">
            <v>B 2d</v>
          </cell>
          <cell r="G273">
            <v>73565.45</v>
          </cell>
          <cell r="O273">
            <v>225912.42602040814</v>
          </cell>
        </row>
        <row r="274">
          <cell r="B274" t="str">
            <v>B 2d</v>
          </cell>
          <cell r="G274">
            <v>33655.589999999997</v>
          </cell>
          <cell r="O274">
            <v>1098</v>
          </cell>
        </row>
        <row r="275">
          <cell r="B275" t="str">
            <v>B 2d</v>
          </cell>
          <cell r="G275">
            <v>105085.43</v>
          </cell>
          <cell r="O275">
            <v>234563.82210884354</v>
          </cell>
        </row>
        <row r="276">
          <cell r="B276" t="str">
            <v>B 2d</v>
          </cell>
          <cell r="G276">
            <v>6905.01</v>
          </cell>
          <cell r="O276">
            <v>26419.642346938774</v>
          </cell>
        </row>
        <row r="277">
          <cell r="B277" t="str">
            <v>B 2d</v>
          </cell>
          <cell r="G277">
            <v>25294.35</v>
          </cell>
          <cell r="O277">
            <v>6882.5806122448976</v>
          </cell>
        </row>
        <row r="278">
          <cell r="B278" t="str">
            <v>B 2d</v>
          </cell>
          <cell r="G278">
            <v>77073.09</v>
          </cell>
          <cell r="O278">
            <v>479843</v>
          </cell>
        </row>
        <row r="279">
          <cell r="B279" t="str">
            <v>B 2d</v>
          </cell>
          <cell r="G279">
            <v>39.630000000000003</v>
          </cell>
          <cell r="O279">
            <v>3014.88</v>
          </cell>
        </row>
        <row r="280">
          <cell r="B280" t="str">
            <v>B 2d</v>
          </cell>
          <cell r="G280">
            <v>2845.82</v>
          </cell>
          <cell r="O280">
            <v>14120.663775510204</v>
          </cell>
        </row>
        <row r="281">
          <cell r="O281">
            <v>0</v>
          </cell>
        </row>
        <row r="282">
          <cell r="O282">
            <v>0</v>
          </cell>
        </row>
        <row r="283">
          <cell r="B283" t="str">
            <v>B 3</v>
          </cell>
          <cell r="G283">
            <v>6161.74</v>
          </cell>
          <cell r="O283">
            <v>25408</v>
          </cell>
        </row>
        <row r="284">
          <cell r="B284" t="str">
            <v>B 3</v>
          </cell>
          <cell r="G284">
            <v>35487.919999999998</v>
          </cell>
          <cell r="O284">
            <v>36190.58</v>
          </cell>
        </row>
        <row r="285">
          <cell r="B285" t="str">
            <v>B 3</v>
          </cell>
          <cell r="G285">
            <v>8145.2</v>
          </cell>
          <cell r="O285">
            <v>15506.548469387755</v>
          </cell>
        </row>
        <row r="286">
          <cell r="B286" t="str">
            <v>B 3</v>
          </cell>
          <cell r="O286">
            <v>184.1139455782313</v>
          </cell>
        </row>
        <row r="287">
          <cell r="B287" t="str">
            <v>B 3</v>
          </cell>
          <cell r="G287">
            <v>20148.98</v>
          </cell>
          <cell r="O287">
            <v>16000.181462585038</v>
          </cell>
        </row>
        <row r="288">
          <cell r="B288" t="str">
            <v>B 3</v>
          </cell>
          <cell r="O288">
            <v>18840.560000000001</v>
          </cell>
        </row>
        <row r="289">
          <cell r="O289">
            <v>0</v>
          </cell>
        </row>
        <row r="290">
          <cell r="B290" t="str">
            <v>B 3</v>
          </cell>
          <cell r="G290">
            <v>6153.68</v>
          </cell>
          <cell r="O290">
            <v>21271.97</v>
          </cell>
        </row>
        <row r="291">
          <cell r="B291" t="str">
            <v>B 3</v>
          </cell>
          <cell r="G291">
            <v>522704.48</v>
          </cell>
          <cell r="O291">
            <v>1008764.05</v>
          </cell>
        </row>
        <row r="292">
          <cell r="B292" t="str">
            <v>B 3</v>
          </cell>
          <cell r="O292">
            <v>1969.0136054421769</v>
          </cell>
        </row>
        <row r="293">
          <cell r="B293" t="str">
            <v>B 3</v>
          </cell>
          <cell r="G293">
            <v>26434.62</v>
          </cell>
          <cell r="O293">
            <v>15203.541156462583</v>
          </cell>
        </row>
        <row r="294">
          <cell r="B294" t="str">
            <v>B 3</v>
          </cell>
          <cell r="G294">
            <v>32695.23</v>
          </cell>
          <cell r="O294">
            <v>140385.21224489796</v>
          </cell>
        </row>
        <row r="295">
          <cell r="B295" t="str">
            <v>B 3</v>
          </cell>
          <cell r="G295">
            <v>1476.2</v>
          </cell>
          <cell r="O295">
            <v>0</v>
          </cell>
        </row>
        <row r="296">
          <cell r="B296" t="str">
            <v>B 3</v>
          </cell>
          <cell r="G296">
            <v>2722.86</v>
          </cell>
          <cell r="O296">
            <v>4999.7799319727892</v>
          </cell>
        </row>
        <row r="297">
          <cell r="B297" t="str">
            <v>B 3</v>
          </cell>
          <cell r="G297">
            <v>139129.38</v>
          </cell>
          <cell r="O297">
            <v>305201.21999999997</v>
          </cell>
        </row>
        <row r="298">
          <cell r="B298" t="str">
            <v>B 3</v>
          </cell>
          <cell r="G298">
            <v>47619.49</v>
          </cell>
          <cell r="O298">
            <v>0</v>
          </cell>
        </row>
        <row r="299">
          <cell r="O299">
            <v>0</v>
          </cell>
        </row>
        <row r="300">
          <cell r="O300">
            <v>0</v>
          </cell>
        </row>
        <row r="301">
          <cell r="B301" t="str">
            <v>B 4</v>
          </cell>
          <cell r="G301">
            <v>91012.84</v>
          </cell>
          <cell r="O301">
            <v>167000</v>
          </cell>
        </row>
        <row r="302">
          <cell r="B302" t="str">
            <v>B 4</v>
          </cell>
          <cell r="G302">
            <v>11418.75</v>
          </cell>
          <cell r="O302">
            <v>40192.25459183674</v>
          </cell>
        </row>
        <row r="303">
          <cell r="B303" t="str">
            <v>B 4</v>
          </cell>
          <cell r="G303">
            <v>76136.73</v>
          </cell>
          <cell r="O303">
            <v>391833.28469387756</v>
          </cell>
        </row>
        <row r="304">
          <cell r="B304" t="str">
            <v>B 4</v>
          </cell>
          <cell r="G304">
            <v>36225.01</v>
          </cell>
          <cell r="O304">
            <v>203876</v>
          </cell>
        </row>
        <row r="305">
          <cell r="B305" t="str">
            <v>B 4</v>
          </cell>
          <cell r="O305">
            <v>15000</v>
          </cell>
        </row>
        <row r="306">
          <cell r="B306" t="str">
            <v>B 4</v>
          </cell>
          <cell r="G306">
            <v>9014.18</v>
          </cell>
          <cell r="O306">
            <v>0</v>
          </cell>
        </row>
        <row r="307">
          <cell r="B307" t="str">
            <v>B 4</v>
          </cell>
          <cell r="O307">
            <v>0</v>
          </cell>
        </row>
        <row r="308">
          <cell r="O308">
            <v>0</v>
          </cell>
        </row>
        <row r="309">
          <cell r="O309">
            <v>0</v>
          </cell>
        </row>
        <row r="310">
          <cell r="B310" t="str">
            <v>B 5</v>
          </cell>
          <cell r="G310">
            <v>3018980.45</v>
          </cell>
          <cell r="O310">
            <v>2293501</v>
          </cell>
        </row>
        <row r="311">
          <cell r="B311" t="str">
            <v>B 5</v>
          </cell>
          <cell r="G311">
            <v>925137.67</v>
          </cell>
          <cell r="O311">
            <v>456127</v>
          </cell>
        </row>
        <row r="312">
          <cell r="B312" t="str">
            <v>B 5</v>
          </cell>
          <cell r="G312">
            <v>73527.460000000006</v>
          </cell>
          <cell r="O312">
            <v>120193</v>
          </cell>
        </row>
        <row r="313">
          <cell r="B313" t="str">
            <v>B 5</v>
          </cell>
          <cell r="G313">
            <v>23487.58</v>
          </cell>
          <cell r="O313">
            <v>13553</v>
          </cell>
        </row>
        <row r="314">
          <cell r="B314" t="str">
            <v>B 5</v>
          </cell>
          <cell r="G314">
            <v>225381.12</v>
          </cell>
          <cell r="O314">
            <v>280387.3</v>
          </cell>
        </row>
        <row r="315">
          <cell r="B315" t="str">
            <v>B 5</v>
          </cell>
          <cell r="G315">
            <v>1146158.2</v>
          </cell>
          <cell r="O315">
            <v>845426.75</v>
          </cell>
        </row>
        <row r="316">
          <cell r="B316" t="str">
            <v>B 5</v>
          </cell>
          <cell r="G316">
            <v>1678656.77</v>
          </cell>
          <cell r="O316">
            <v>1806300</v>
          </cell>
        </row>
        <row r="317">
          <cell r="B317" t="str">
            <v>B 5</v>
          </cell>
          <cell r="G317">
            <v>12532</v>
          </cell>
          <cell r="O317">
            <v>3914</v>
          </cell>
        </row>
        <row r="318">
          <cell r="B318" t="str">
            <v>B 5</v>
          </cell>
          <cell r="G318">
            <v>131508.75</v>
          </cell>
          <cell r="O318">
            <v>85440</v>
          </cell>
        </row>
        <row r="319">
          <cell r="B319" t="str">
            <v>B 5</v>
          </cell>
          <cell r="G319">
            <v>17802.59</v>
          </cell>
          <cell r="O319">
            <v>7296</v>
          </cell>
        </row>
        <row r="320">
          <cell r="B320" t="str">
            <v>B 5</v>
          </cell>
          <cell r="G320">
            <v>277173.01</v>
          </cell>
          <cell r="O320">
            <v>361945</v>
          </cell>
        </row>
        <row r="321">
          <cell r="B321" t="str">
            <v>B 5</v>
          </cell>
          <cell r="G321">
            <v>531538.26</v>
          </cell>
          <cell r="O321">
            <v>606231</v>
          </cell>
        </row>
        <row r="322">
          <cell r="B322" t="str">
            <v>B 5</v>
          </cell>
          <cell r="O322">
            <v>0</v>
          </cell>
        </row>
        <row r="323">
          <cell r="B323" t="str">
            <v>B 5</v>
          </cell>
          <cell r="O323">
            <v>62844</v>
          </cell>
        </row>
        <row r="324">
          <cell r="B324" t="str">
            <v>B 5</v>
          </cell>
          <cell r="O324">
            <v>17395</v>
          </cell>
        </row>
        <row r="325">
          <cell r="B325" t="str">
            <v>B 5</v>
          </cell>
          <cell r="O325">
            <v>111599</v>
          </cell>
        </row>
        <row r="326">
          <cell r="B326" t="str">
            <v>B 5</v>
          </cell>
          <cell r="O326">
            <v>30891</v>
          </cell>
        </row>
        <row r="327">
          <cell r="O327">
            <v>0</v>
          </cell>
        </row>
        <row r="328">
          <cell r="B328" t="str">
            <v>B 6</v>
          </cell>
          <cell r="G328">
            <v>114595.17</v>
          </cell>
          <cell r="O328">
            <v>399653</v>
          </cell>
        </row>
        <row r="329">
          <cell r="B329" t="str">
            <v>B 6</v>
          </cell>
          <cell r="G329">
            <v>94768.47</v>
          </cell>
          <cell r="O329">
            <v>78162</v>
          </cell>
        </row>
        <row r="330">
          <cell r="B330" t="str">
            <v>B 6</v>
          </cell>
          <cell r="G330">
            <v>1408.55</v>
          </cell>
          <cell r="O330">
            <v>24164</v>
          </cell>
        </row>
        <row r="331">
          <cell r="B331" t="str">
            <v>B 6</v>
          </cell>
          <cell r="G331">
            <v>5788.67</v>
          </cell>
          <cell r="O331">
            <v>2000</v>
          </cell>
        </row>
        <row r="332">
          <cell r="B332" t="str">
            <v>B 6</v>
          </cell>
          <cell r="G332">
            <v>29176.18</v>
          </cell>
          <cell r="O332">
            <v>45071</v>
          </cell>
        </row>
        <row r="333">
          <cell r="B333" t="str">
            <v>B 6</v>
          </cell>
          <cell r="G333">
            <v>65491.27</v>
          </cell>
          <cell r="O333">
            <v>158651</v>
          </cell>
        </row>
        <row r="334">
          <cell r="B334" t="str">
            <v>B 6</v>
          </cell>
          <cell r="O334">
            <v>50651</v>
          </cell>
        </row>
        <row r="335">
          <cell r="B335" t="str">
            <v>B 6</v>
          </cell>
          <cell r="O335">
            <v>1010</v>
          </cell>
        </row>
        <row r="336">
          <cell r="B336" t="str">
            <v>B 6</v>
          </cell>
          <cell r="O336">
            <v>1992</v>
          </cell>
        </row>
        <row r="337">
          <cell r="B337" t="str">
            <v>B 6</v>
          </cell>
          <cell r="G337">
            <v>1689.31</v>
          </cell>
          <cell r="O337">
            <v>0</v>
          </cell>
        </row>
        <row r="338">
          <cell r="B338" t="str">
            <v>B 6</v>
          </cell>
          <cell r="O338">
            <v>17875</v>
          </cell>
        </row>
        <row r="339">
          <cell r="B339" t="str">
            <v>B 6</v>
          </cell>
          <cell r="O339">
            <v>19799</v>
          </cell>
        </row>
        <row r="340">
          <cell r="B340" t="str">
            <v>B 6</v>
          </cell>
          <cell r="O340">
            <v>0</v>
          </cell>
        </row>
        <row r="341">
          <cell r="B341" t="str">
            <v>B 6</v>
          </cell>
          <cell r="G341">
            <v>166.68</v>
          </cell>
          <cell r="O341">
            <v>0</v>
          </cell>
        </row>
        <row r="342">
          <cell r="O342">
            <v>0</v>
          </cell>
        </row>
        <row r="343">
          <cell r="B343" t="str">
            <v>B 7</v>
          </cell>
          <cell r="G343">
            <v>53782.18</v>
          </cell>
          <cell r="O343">
            <v>221811</v>
          </cell>
        </row>
        <row r="344">
          <cell r="B344" t="str">
            <v>B 7</v>
          </cell>
          <cell r="G344">
            <v>6804.42</v>
          </cell>
          <cell r="O344">
            <v>20616</v>
          </cell>
        </row>
        <row r="345">
          <cell r="B345" t="str">
            <v>B 7</v>
          </cell>
          <cell r="O345">
            <v>10360</v>
          </cell>
        </row>
        <row r="346">
          <cell r="B346" t="str">
            <v>B 7</v>
          </cell>
          <cell r="G346">
            <v>474</v>
          </cell>
          <cell r="O346">
            <v>3000</v>
          </cell>
        </row>
        <row r="347">
          <cell r="B347" t="str">
            <v>B 7</v>
          </cell>
          <cell r="G347">
            <v>4455.6400000000003</v>
          </cell>
          <cell r="O347">
            <v>27898</v>
          </cell>
        </row>
        <row r="348">
          <cell r="B348" t="str">
            <v>B 7</v>
          </cell>
          <cell r="G348">
            <v>17691.07</v>
          </cell>
          <cell r="O348">
            <v>74886</v>
          </cell>
        </row>
        <row r="349">
          <cell r="B349" t="str">
            <v>B 7</v>
          </cell>
          <cell r="G349">
            <v>3354344.5</v>
          </cell>
          <cell r="O349">
            <v>4316977</v>
          </cell>
        </row>
        <row r="350">
          <cell r="B350" t="str">
            <v>B 7</v>
          </cell>
          <cell r="G350">
            <v>4855</v>
          </cell>
          <cell r="O350">
            <v>56690</v>
          </cell>
        </row>
        <row r="351">
          <cell r="B351" t="str">
            <v>B 7</v>
          </cell>
          <cell r="G351">
            <v>243937.56</v>
          </cell>
          <cell r="O351">
            <v>152751</v>
          </cell>
        </row>
        <row r="352">
          <cell r="B352" t="str">
            <v>B 7</v>
          </cell>
          <cell r="G352">
            <v>60426.68</v>
          </cell>
          <cell r="O352">
            <v>45000</v>
          </cell>
        </row>
        <row r="353">
          <cell r="B353" t="str">
            <v>B 7</v>
          </cell>
          <cell r="G353">
            <v>566103.14</v>
          </cell>
          <cell r="O353">
            <v>1105371</v>
          </cell>
        </row>
        <row r="354">
          <cell r="B354" t="str">
            <v>B 7</v>
          </cell>
          <cell r="G354">
            <v>1140638.98</v>
          </cell>
          <cell r="O354">
            <v>1558879</v>
          </cell>
        </row>
        <row r="355">
          <cell r="B355" t="str">
            <v>B 7</v>
          </cell>
          <cell r="G355">
            <v>4881.7299999999996</v>
          </cell>
          <cell r="O355">
            <v>0</v>
          </cell>
        </row>
        <row r="356">
          <cell r="B356" t="str">
            <v>B 7</v>
          </cell>
          <cell r="G356">
            <v>1361.02</v>
          </cell>
          <cell r="O356">
            <v>0</v>
          </cell>
        </row>
        <row r="357">
          <cell r="B357" t="str">
            <v>B 7</v>
          </cell>
          <cell r="G357">
            <v>166448.41</v>
          </cell>
          <cell r="O357">
            <v>111579</v>
          </cell>
        </row>
        <row r="358">
          <cell r="B358" t="str">
            <v>B 7</v>
          </cell>
          <cell r="G358">
            <v>44835.26</v>
          </cell>
          <cell r="O358">
            <v>30885</v>
          </cell>
        </row>
        <row r="359">
          <cell r="B359" t="str">
            <v>B 7</v>
          </cell>
          <cell r="G359">
            <v>531887.34</v>
          </cell>
          <cell r="O359">
            <v>0</v>
          </cell>
        </row>
        <row r="360">
          <cell r="B360" t="str">
            <v>B 7</v>
          </cell>
          <cell r="G360">
            <v>84719.12</v>
          </cell>
          <cell r="O360">
            <v>0</v>
          </cell>
        </row>
        <row r="361">
          <cell r="O361">
            <v>0</v>
          </cell>
        </row>
        <row r="362">
          <cell r="B362" t="str">
            <v>B 8</v>
          </cell>
          <cell r="G362">
            <v>29780.29</v>
          </cell>
          <cell r="O362">
            <v>427198</v>
          </cell>
        </row>
        <row r="363">
          <cell r="B363" t="str">
            <v>B 8</v>
          </cell>
          <cell r="G363">
            <v>48350.29</v>
          </cell>
          <cell r="O363">
            <v>68463</v>
          </cell>
        </row>
        <row r="364">
          <cell r="B364" t="str">
            <v>B 8</v>
          </cell>
          <cell r="G364">
            <v>10.8</v>
          </cell>
          <cell r="O364">
            <v>1000</v>
          </cell>
        </row>
        <row r="365">
          <cell r="B365" t="str">
            <v>B 8</v>
          </cell>
          <cell r="G365">
            <v>9516.7800000000007</v>
          </cell>
          <cell r="O365">
            <v>54097</v>
          </cell>
        </row>
        <row r="366">
          <cell r="B366" t="str">
            <v>B 8</v>
          </cell>
          <cell r="G366">
            <v>22297.75</v>
          </cell>
          <cell r="O366">
            <v>169005</v>
          </cell>
        </row>
        <row r="367">
          <cell r="B367" t="str">
            <v>B 8</v>
          </cell>
          <cell r="G367">
            <v>1796270.91</v>
          </cell>
          <cell r="O367">
            <v>1884360</v>
          </cell>
        </row>
        <row r="368">
          <cell r="B368" t="str">
            <v>B 8</v>
          </cell>
          <cell r="G368">
            <v>13388.84</v>
          </cell>
          <cell r="O368">
            <v>33586</v>
          </cell>
        </row>
        <row r="369">
          <cell r="B369" t="str">
            <v>B 8</v>
          </cell>
          <cell r="G369">
            <v>44074.21</v>
          </cell>
          <cell r="O369">
            <v>90977</v>
          </cell>
        </row>
        <row r="370">
          <cell r="B370" t="str">
            <v>B 8</v>
          </cell>
          <cell r="G370">
            <v>8902.19</v>
          </cell>
          <cell r="O370">
            <v>5000</v>
          </cell>
        </row>
        <row r="371">
          <cell r="B371" t="str">
            <v>B 8</v>
          </cell>
          <cell r="G371">
            <v>338964.46</v>
          </cell>
          <cell r="O371">
            <v>446186</v>
          </cell>
        </row>
        <row r="372">
          <cell r="B372" t="str">
            <v>B 8</v>
          </cell>
          <cell r="G372">
            <v>579242.84</v>
          </cell>
          <cell r="O372">
            <v>678719</v>
          </cell>
        </row>
        <row r="373">
          <cell r="B373" t="str">
            <v>B 8</v>
          </cell>
          <cell r="O373">
            <v>0</v>
          </cell>
        </row>
        <row r="374">
          <cell r="B374" t="str">
            <v>B 8</v>
          </cell>
          <cell r="G374">
            <v>35221.68</v>
          </cell>
          <cell r="O374">
            <v>0</v>
          </cell>
        </row>
        <row r="375">
          <cell r="B375" t="str">
            <v>B 8</v>
          </cell>
          <cell r="G375">
            <v>8684.92</v>
          </cell>
          <cell r="O375">
            <v>0</v>
          </cell>
        </row>
        <row r="376">
          <cell r="B376" t="str">
            <v>B 8</v>
          </cell>
          <cell r="G376">
            <v>268525.99</v>
          </cell>
          <cell r="O376">
            <v>52367</v>
          </cell>
        </row>
        <row r="377">
          <cell r="B377" t="str">
            <v>B 8</v>
          </cell>
          <cell r="G377">
            <v>26928.6</v>
          </cell>
          <cell r="O377">
            <v>14547.48</v>
          </cell>
        </row>
        <row r="378">
          <cell r="B378" t="str">
            <v>B 8</v>
          </cell>
          <cell r="G378">
            <v>30983.63</v>
          </cell>
          <cell r="O378">
            <v>0</v>
          </cell>
        </row>
        <row r="379">
          <cell r="B379" t="str">
            <v>B 8</v>
          </cell>
          <cell r="G379">
            <v>26956.82</v>
          </cell>
          <cell r="O379">
            <v>0</v>
          </cell>
        </row>
        <row r="380">
          <cell r="B380" t="str">
            <v>B 8</v>
          </cell>
          <cell r="O380">
            <v>0</v>
          </cell>
        </row>
        <row r="381">
          <cell r="B381" t="str">
            <v>B 8</v>
          </cell>
          <cell r="O381">
            <v>0</v>
          </cell>
        </row>
        <row r="382">
          <cell r="O382">
            <v>0</v>
          </cell>
          <cell r="Q382">
            <v>15358964.300000001</v>
          </cell>
        </row>
        <row r="383">
          <cell r="B383" t="str">
            <v>B 8</v>
          </cell>
          <cell r="O383">
            <v>0</v>
          </cell>
        </row>
        <row r="384">
          <cell r="B384" t="str">
            <v>B 8</v>
          </cell>
          <cell r="O384">
            <v>0</v>
          </cell>
        </row>
        <row r="385">
          <cell r="B385" t="str">
            <v>B 8</v>
          </cell>
          <cell r="O385">
            <v>0</v>
          </cell>
        </row>
        <row r="386">
          <cell r="B386" t="str">
            <v>B 8</v>
          </cell>
          <cell r="O386">
            <v>0</v>
          </cell>
        </row>
        <row r="387">
          <cell r="B387" t="str">
            <v>B 8</v>
          </cell>
          <cell r="O387">
            <v>0</v>
          </cell>
        </row>
        <row r="388">
          <cell r="B388" t="str">
            <v>B 8</v>
          </cell>
          <cell r="O388">
            <v>0</v>
          </cell>
        </row>
        <row r="389">
          <cell r="B389" t="str">
            <v>B 8</v>
          </cell>
          <cell r="O389">
            <v>0</v>
          </cell>
        </row>
        <row r="390">
          <cell r="B390" t="str">
            <v>B 8</v>
          </cell>
          <cell r="O390">
            <v>0</v>
          </cell>
        </row>
        <row r="391">
          <cell r="B391" t="str">
            <v>B 8</v>
          </cell>
          <cell r="O391">
            <v>0</v>
          </cell>
        </row>
        <row r="392">
          <cell r="B392" t="str">
            <v>B 8</v>
          </cell>
          <cell r="O392">
            <v>0</v>
          </cell>
        </row>
        <row r="393">
          <cell r="B393" t="str">
            <v>B 8</v>
          </cell>
          <cell r="O393">
            <v>0</v>
          </cell>
        </row>
        <row r="394">
          <cell r="B394" t="str">
            <v>B 8</v>
          </cell>
          <cell r="O394">
            <v>0</v>
          </cell>
        </row>
        <row r="395">
          <cell r="B395" t="str">
            <v>B 8</v>
          </cell>
          <cell r="O395">
            <v>0</v>
          </cell>
        </row>
        <row r="396">
          <cell r="O396">
            <v>0</v>
          </cell>
          <cell r="Q396">
            <v>4205315.2300000004</v>
          </cell>
        </row>
        <row r="397">
          <cell r="B397" t="str">
            <v>B 9</v>
          </cell>
          <cell r="G397">
            <v>122242.45</v>
          </cell>
          <cell r="O397">
            <v>154937.07</v>
          </cell>
        </row>
        <row r="398">
          <cell r="B398" t="str">
            <v>B 9</v>
          </cell>
          <cell r="O398">
            <v>30987.41</v>
          </cell>
        </row>
        <row r="399">
          <cell r="B399" t="str">
            <v>B 9</v>
          </cell>
          <cell r="O399">
            <v>123950</v>
          </cell>
        </row>
        <row r="400">
          <cell r="B400" t="str">
            <v>B 9</v>
          </cell>
          <cell r="O400">
            <v>44621.88</v>
          </cell>
        </row>
        <row r="401">
          <cell r="B401" t="str">
            <v>B 9</v>
          </cell>
          <cell r="O401">
            <v>123950</v>
          </cell>
        </row>
        <row r="402">
          <cell r="B402" t="str">
            <v>B 9</v>
          </cell>
          <cell r="G402">
            <v>74791.75</v>
          </cell>
          <cell r="O402">
            <v>75444.710000000006</v>
          </cell>
        </row>
        <row r="403">
          <cell r="B403" t="str">
            <v>B 9</v>
          </cell>
          <cell r="G403">
            <v>8400</v>
          </cell>
          <cell r="O403">
            <v>5560</v>
          </cell>
        </row>
        <row r="404">
          <cell r="B404" t="str">
            <v>B 9</v>
          </cell>
          <cell r="G404">
            <v>60</v>
          </cell>
          <cell r="O404">
            <v>8015.75</v>
          </cell>
        </row>
        <row r="405">
          <cell r="B405" t="str">
            <v>B 9</v>
          </cell>
          <cell r="O405">
            <v>0</v>
          </cell>
        </row>
        <row r="406">
          <cell r="B406" t="str">
            <v>B 9</v>
          </cell>
          <cell r="O406">
            <v>57.01</v>
          </cell>
        </row>
        <row r="407">
          <cell r="B407" t="str">
            <v>B 9</v>
          </cell>
          <cell r="O407">
            <v>4233.53</v>
          </cell>
        </row>
        <row r="408">
          <cell r="B408" t="str">
            <v>B 9</v>
          </cell>
          <cell r="G408">
            <v>583.89</v>
          </cell>
          <cell r="O408">
            <v>0</v>
          </cell>
        </row>
        <row r="409">
          <cell r="B409" t="str">
            <v>B 9</v>
          </cell>
          <cell r="G409">
            <v>23549.69</v>
          </cell>
          <cell r="O409">
            <v>123223</v>
          </cell>
        </row>
        <row r="410">
          <cell r="O410">
            <v>0</v>
          </cell>
        </row>
        <row r="411">
          <cell r="B411" t="str">
            <v>B 9</v>
          </cell>
          <cell r="G411">
            <v>23921.11</v>
          </cell>
          <cell r="O411">
            <v>8193.0457482993188</v>
          </cell>
        </row>
        <row r="412">
          <cell r="B412" t="str">
            <v>B 9</v>
          </cell>
          <cell r="G412">
            <v>130199.54</v>
          </cell>
          <cell r="O412">
            <v>154560.4836734694</v>
          </cell>
        </row>
        <row r="413">
          <cell r="B413" t="str">
            <v>B 9</v>
          </cell>
          <cell r="G413">
            <v>15469.96</v>
          </cell>
          <cell r="O413">
            <v>15.146258503401361</v>
          </cell>
        </row>
        <row r="414">
          <cell r="B414" t="str">
            <v>B 9</v>
          </cell>
          <cell r="G414">
            <v>4187.04</v>
          </cell>
          <cell r="O414">
            <v>5300</v>
          </cell>
        </row>
        <row r="415">
          <cell r="B415" t="str">
            <v>B 9</v>
          </cell>
          <cell r="G415">
            <v>46572.5</v>
          </cell>
          <cell r="O415">
            <v>13413.12925170068</v>
          </cell>
        </row>
        <row r="416">
          <cell r="B416" t="str">
            <v>B 9</v>
          </cell>
          <cell r="G416">
            <v>7808</v>
          </cell>
          <cell r="O416">
            <v>0</v>
          </cell>
        </row>
        <row r="417">
          <cell r="B417" t="str">
            <v>B 9</v>
          </cell>
          <cell r="G417">
            <v>3656.05</v>
          </cell>
          <cell r="O417">
            <v>0</v>
          </cell>
        </row>
        <row r="418">
          <cell r="B418" t="str">
            <v>B 9</v>
          </cell>
          <cell r="G418">
            <v>3996.72</v>
          </cell>
          <cell r="O418">
            <v>7967.8382653061235</v>
          </cell>
        </row>
        <row r="419">
          <cell r="B419" t="str">
            <v>B 9</v>
          </cell>
          <cell r="G419">
            <v>7821.11</v>
          </cell>
          <cell r="O419">
            <v>5710.8346938775512</v>
          </cell>
        </row>
        <row r="420">
          <cell r="B420" t="str">
            <v>B 9</v>
          </cell>
          <cell r="G420">
            <v>2042</v>
          </cell>
          <cell r="O420">
            <v>191.09115646258502</v>
          </cell>
        </row>
        <row r="421">
          <cell r="B421" t="str">
            <v>B 9</v>
          </cell>
          <cell r="G421">
            <v>15141.7</v>
          </cell>
          <cell r="O421">
            <v>13245.681802721088</v>
          </cell>
        </row>
        <row r="422">
          <cell r="B422" t="str">
            <v>B 9</v>
          </cell>
          <cell r="G422">
            <v>240</v>
          </cell>
          <cell r="O422">
            <v>139.04761904761904</v>
          </cell>
        </row>
        <row r="423">
          <cell r="B423" t="str">
            <v>B 9</v>
          </cell>
          <cell r="G423">
            <v>916.77</v>
          </cell>
          <cell r="O423">
            <v>0</v>
          </cell>
        </row>
        <row r="424">
          <cell r="B424" t="str">
            <v>B 9</v>
          </cell>
          <cell r="G424">
            <v>5531.38</v>
          </cell>
          <cell r="O424">
            <v>2003.3161564625852</v>
          </cell>
        </row>
        <row r="425">
          <cell r="B425" t="str">
            <v>B 9</v>
          </cell>
          <cell r="G425">
            <v>564.85</v>
          </cell>
          <cell r="O425">
            <v>0</v>
          </cell>
        </row>
        <row r="426">
          <cell r="B426" t="str">
            <v>B 9</v>
          </cell>
          <cell r="G426">
            <v>90.42</v>
          </cell>
          <cell r="O426">
            <v>6669.9011904761901</v>
          </cell>
        </row>
        <row r="427">
          <cell r="B427" t="str">
            <v>B 9</v>
          </cell>
          <cell r="O427">
            <v>0</v>
          </cell>
        </row>
        <row r="428">
          <cell r="O428">
            <v>0</v>
          </cell>
        </row>
        <row r="429">
          <cell r="O429">
            <v>0</v>
          </cell>
        </row>
        <row r="430">
          <cell r="B430" t="str">
            <v>B 10d</v>
          </cell>
          <cell r="G430">
            <v>20916.669999999998</v>
          </cell>
          <cell r="O430">
            <v>408242.58</v>
          </cell>
        </row>
        <row r="431">
          <cell r="B431" t="str">
            <v>B 10c</v>
          </cell>
          <cell r="G431">
            <v>145.19999999999999</v>
          </cell>
          <cell r="O431">
            <v>0</v>
          </cell>
        </row>
        <row r="432">
          <cell r="B432" t="str">
            <v>B 10d</v>
          </cell>
          <cell r="G432">
            <v>9037.09</v>
          </cell>
          <cell r="O432">
            <v>3501.1399999999994</v>
          </cell>
        </row>
        <row r="433">
          <cell r="B433" t="str">
            <v>B 10d</v>
          </cell>
          <cell r="G433">
            <v>28894.799999999999</v>
          </cell>
          <cell r="O433">
            <v>3400</v>
          </cell>
        </row>
        <row r="434">
          <cell r="B434" t="str">
            <v>B 10d</v>
          </cell>
          <cell r="O434">
            <v>457227.8007722008</v>
          </cell>
        </row>
        <row r="435">
          <cell r="O435">
            <v>0</v>
          </cell>
        </row>
        <row r="436">
          <cell r="B436" t="str">
            <v>B 11b</v>
          </cell>
          <cell r="G436">
            <v>449284.5</v>
          </cell>
          <cell r="O436">
            <v>500335.92450000002</v>
          </cell>
        </row>
        <row r="437">
          <cell r="B437" t="str">
            <v>B 11a</v>
          </cell>
          <cell r="G437">
            <v>193.7</v>
          </cell>
          <cell r="O437">
            <v>0</v>
          </cell>
        </row>
        <row r="438">
          <cell r="O438">
            <v>0</v>
          </cell>
        </row>
        <row r="439">
          <cell r="B439" t="str">
            <v>B 12a</v>
          </cell>
          <cell r="G439">
            <v>16371.58</v>
          </cell>
          <cell r="O439">
            <v>39247.929999999935</v>
          </cell>
        </row>
        <row r="440">
          <cell r="B440" t="str">
            <v>B 12a</v>
          </cell>
          <cell r="G440">
            <v>212689.22</v>
          </cell>
          <cell r="O440">
            <v>79087.920000000391</v>
          </cell>
        </row>
        <row r="441">
          <cell r="B441" t="str">
            <v>B 12a</v>
          </cell>
          <cell r="O441">
            <v>1331801.7599999998</v>
          </cell>
        </row>
        <row r="442">
          <cell r="B442" t="str">
            <v>B 12b</v>
          </cell>
          <cell r="G442">
            <v>1065119.21</v>
          </cell>
          <cell r="O442">
            <v>0</v>
          </cell>
        </row>
        <row r="443">
          <cell r="B443" t="str">
            <v>B 12b</v>
          </cell>
          <cell r="G443">
            <v>60357.15</v>
          </cell>
          <cell r="O443">
            <v>0</v>
          </cell>
        </row>
        <row r="444">
          <cell r="B444" t="str">
            <v>B 12b</v>
          </cell>
          <cell r="O444">
            <v>1514113.0989999999</v>
          </cell>
        </row>
        <row r="445">
          <cell r="B445" t="str">
            <v>B 12c</v>
          </cell>
          <cell r="G445">
            <v>228270.88</v>
          </cell>
          <cell r="O445">
            <v>27432.63</v>
          </cell>
        </row>
        <row r="446">
          <cell r="B446" t="str">
            <v>B 12d</v>
          </cell>
          <cell r="G446">
            <v>101865.42</v>
          </cell>
          <cell r="O446">
            <v>0</v>
          </cell>
        </row>
        <row r="447">
          <cell r="B447" t="str">
            <v>B 12d</v>
          </cell>
          <cell r="O447">
            <v>60871</v>
          </cell>
        </row>
        <row r="448">
          <cell r="B448" t="str">
            <v>B 12d</v>
          </cell>
          <cell r="O448">
            <v>540000</v>
          </cell>
        </row>
        <row r="449">
          <cell r="B449" t="str">
            <v>B 12e</v>
          </cell>
          <cell r="G449">
            <v>2542.6999999999998</v>
          </cell>
          <cell r="O449">
            <v>0</v>
          </cell>
        </row>
        <row r="450">
          <cell r="B450" t="str">
            <v>B 12e</v>
          </cell>
          <cell r="G450">
            <v>39738.730000000003</v>
          </cell>
          <cell r="O450">
            <v>366620</v>
          </cell>
        </row>
        <row r="451">
          <cell r="B451" t="str">
            <v>B 12e</v>
          </cell>
          <cell r="G451">
            <v>174.16</v>
          </cell>
          <cell r="O451">
            <v>0</v>
          </cell>
        </row>
        <row r="452">
          <cell r="O452">
            <v>0</v>
          </cell>
        </row>
        <row r="453">
          <cell r="O453">
            <v>0</v>
          </cell>
        </row>
        <row r="454">
          <cell r="B454" t="str">
            <v>B 13</v>
          </cell>
          <cell r="G454">
            <v>160091</v>
          </cell>
          <cell r="O454">
            <v>0</v>
          </cell>
        </row>
        <row r="455">
          <cell r="B455" t="str">
            <v>B 15</v>
          </cell>
          <cell r="O455">
            <v>0</v>
          </cell>
        </row>
        <row r="456">
          <cell r="B456" t="str">
            <v>B 15</v>
          </cell>
          <cell r="O456">
            <v>0</v>
          </cell>
        </row>
        <row r="457">
          <cell r="B457" t="str">
            <v>B 15</v>
          </cell>
          <cell r="G457">
            <v>378244.1</v>
          </cell>
          <cell r="O457">
            <v>0</v>
          </cell>
        </row>
        <row r="458">
          <cell r="B458" t="str">
            <v>B 15</v>
          </cell>
          <cell r="G458">
            <v>438665.58</v>
          </cell>
          <cell r="O458">
            <v>0</v>
          </cell>
        </row>
        <row r="459">
          <cell r="B459" t="str">
            <v>B 15</v>
          </cell>
          <cell r="G459">
            <v>142721.35999999999</v>
          </cell>
          <cell r="O459">
            <v>0</v>
          </cell>
        </row>
        <row r="460">
          <cell r="B460" t="str">
            <v>B 15</v>
          </cell>
          <cell r="G460">
            <v>102381.1</v>
          </cell>
          <cell r="O460">
            <v>0</v>
          </cell>
        </row>
        <row r="461">
          <cell r="B461" t="str">
            <v>B 15</v>
          </cell>
          <cell r="G461">
            <v>1158455.3700000001</v>
          </cell>
          <cell r="O461">
            <v>200000</v>
          </cell>
        </row>
        <row r="462">
          <cell r="O462">
            <v>0</v>
          </cell>
          <cell r="Q462">
            <v>0</v>
          </cell>
        </row>
        <row r="463">
          <cell r="O463">
            <v>0</v>
          </cell>
          <cell r="Q463">
            <v>200000</v>
          </cell>
        </row>
        <row r="464">
          <cell r="B464" t="str">
            <v>C 3</v>
          </cell>
          <cell r="G464">
            <v>4.3</v>
          </cell>
          <cell r="O464">
            <v>0</v>
          </cell>
        </row>
        <row r="465">
          <cell r="B465" t="str">
            <v>C 3</v>
          </cell>
          <cell r="G465">
            <v>37.76</v>
          </cell>
          <cell r="O465">
            <v>5.44</v>
          </cell>
        </row>
        <row r="466">
          <cell r="B466" t="str">
            <v>C 4</v>
          </cell>
          <cell r="G466">
            <v>504.26</v>
          </cell>
          <cell r="O466">
            <v>466.55</v>
          </cell>
        </row>
        <row r="467">
          <cell r="O467">
            <v>0</v>
          </cell>
        </row>
        <row r="468">
          <cell r="O468">
            <v>0</v>
          </cell>
        </row>
        <row r="469">
          <cell r="B469" t="str">
            <v>E 1</v>
          </cell>
          <cell r="O469">
            <v>0</v>
          </cell>
        </row>
        <row r="470">
          <cell r="B470" t="str">
            <v>E 1</v>
          </cell>
          <cell r="O470">
            <v>0</v>
          </cell>
        </row>
        <row r="471">
          <cell r="B471" t="str">
            <v>E 1</v>
          </cell>
          <cell r="O471">
            <v>0</v>
          </cell>
        </row>
        <row r="472">
          <cell r="O472">
            <v>0</v>
          </cell>
        </row>
        <row r="473">
          <cell r="B473" t="str">
            <v>-E 5</v>
          </cell>
          <cell r="G473">
            <v>92193.21</v>
          </cell>
          <cell r="O473">
            <v>0</v>
          </cell>
        </row>
        <row r="474">
          <cell r="B474" t="str">
            <v>-E 5</v>
          </cell>
          <cell r="G474">
            <v>4.91</v>
          </cell>
          <cell r="O474">
            <v>0</v>
          </cell>
        </row>
        <row r="475">
          <cell r="B475" t="str">
            <v>-E 5</v>
          </cell>
          <cell r="G475">
            <v>653278.97</v>
          </cell>
          <cell r="O475">
            <v>0</v>
          </cell>
        </row>
        <row r="476">
          <cell r="O476">
            <v>0</v>
          </cell>
        </row>
        <row r="477">
          <cell r="O477">
            <v>0</v>
          </cell>
        </row>
        <row r="478">
          <cell r="B478" t="str">
            <v>F</v>
          </cell>
          <cell r="G478">
            <v>1249744.8600000001</v>
          </cell>
          <cell r="O478">
            <v>1389956</v>
          </cell>
        </row>
        <row r="479">
          <cell r="B479" t="str">
            <v>F</v>
          </cell>
          <cell r="O479">
            <v>0</v>
          </cell>
        </row>
        <row r="480">
          <cell r="B480" t="str">
            <v>F</v>
          </cell>
          <cell r="O480">
            <v>0</v>
          </cell>
        </row>
        <row r="481">
          <cell r="B481" t="str">
            <v>F</v>
          </cell>
          <cell r="O481">
            <v>13085</v>
          </cell>
        </row>
        <row r="482">
          <cell r="B482" t="str">
            <v>F</v>
          </cell>
          <cell r="O482">
            <v>0</v>
          </cell>
        </row>
        <row r="483">
          <cell r="B483" t="str">
            <v>F</v>
          </cell>
          <cell r="O483">
            <v>0</v>
          </cell>
        </row>
        <row r="484">
          <cell r="B484" t="str">
            <v>B 9</v>
          </cell>
          <cell r="G484">
            <v>5456.23</v>
          </cell>
          <cell r="O484">
            <v>4609.25</v>
          </cell>
        </row>
        <row r="485">
          <cell r="B485" t="str">
            <v>B 9</v>
          </cell>
          <cell r="G485">
            <v>716.61</v>
          </cell>
          <cell r="O485">
            <v>695</v>
          </cell>
        </row>
        <row r="486">
          <cell r="B486" t="str">
            <v>B 9</v>
          </cell>
          <cell r="G486">
            <v>4113.91</v>
          </cell>
          <cell r="O486">
            <v>3697.23</v>
          </cell>
        </row>
        <row r="487">
          <cell r="B487" t="str">
            <v>B 9</v>
          </cell>
          <cell r="G487">
            <v>108334.2</v>
          </cell>
          <cell r="O487">
            <v>30573.65</v>
          </cell>
        </row>
        <row r="488">
          <cell r="B488" t="str">
            <v>B 9</v>
          </cell>
          <cell r="O488">
            <v>0</v>
          </cell>
        </row>
        <row r="489">
          <cell r="B489" t="str">
            <v>B 9</v>
          </cell>
          <cell r="G489">
            <v>2969.18</v>
          </cell>
          <cell r="O489">
            <v>2248.4</v>
          </cell>
        </row>
        <row r="490">
          <cell r="O490">
            <v>0</v>
          </cell>
        </row>
        <row r="491">
          <cell r="O491">
            <v>0</v>
          </cell>
        </row>
        <row r="492">
          <cell r="B492" t="str">
            <v>B 9</v>
          </cell>
          <cell r="G492">
            <v>4500</v>
          </cell>
          <cell r="O492">
            <v>0</v>
          </cell>
        </row>
        <row r="493">
          <cell r="B493" t="str">
            <v>B 9</v>
          </cell>
          <cell r="G493">
            <v>2160</v>
          </cell>
          <cell r="O493">
            <v>8000</v>
          </cell>
        </row>
        <row r="494">
          <cell r="O494">
            <v>0</v>
          </cell>
        </row>
        <row r="495">
          <cell r="O495">
            <v>0</v>
          </cell>
        </row>
        <row r="496">
          <cell r="B496" t="str">
            <v>A 1</v>
          </cell>
          <cell r="G496">
            <v>31900000</v>
          </cell>
          <cell r="O496">
            <v>31900000</v>
          </cell>
        </row>
        <row r="497">
          <cell r="B497" t="str">
            <v>A 1</v>
          </cell>
          <cell r="G497">
            <v>1131511.1200000001</v>
          </cell>
          <cell r="O497">
            <v>320566</v>
          </cell>
        </row>
        <row r="498">
          <cell r="B498" t="str">
            <v>A 1</v>
          </cell>
          <cell r="O498">
            <v>0</v>
          </cell>
          <cell r="Q498">
            <v>33326295.039999999</v>
          </cell>
        </row>
        <row r="499">
          <cell r="O499">
            <v>0</v>
          </cell>
        </row>
        <row r="500">
          <cell r="O500">
            <v>0</v>
          </cell>
        </row>
        <row r="501">
          <cell r="B501" t="str">
            <v>A 2</v>
          </cell>
          <cell r="G501">
            <v>24415.26</v>
          </cell>
          <cell r="O501">
            <v>0</v>
          </cell>
        </row>
        <row r="502">
          <cell r="B502" t="str">
            <v>A 2</v>
          </cell>
          <cell r="G502">
            <v>16548</v>
          </cell>
          <cell r="O502">
            <v>0</v>
          </cell>
        </row>
        <row r="503">
          <cell r="B503" t="str">
            <v>A 2</v>
          </cell>
          <cell r="G503">
            <v>558.11</v>
          </cell>
          <cell r="O503">
            <v>0</v>
          </cell>
        </row>
        <row r="504">
          <cell r="O504">
            <v>0</v>
          </cell>
        </row>
        <row r="505">
          <cell r="B505" t="str">
            <v>A 2</v>
          </cell>
          <cell r="G505">
            <v>898884.63</v>
          </cell>
          <cell r="O505">
            <v>0</v>
          </cell>
        </row>
        <row r="506">
          <cell r="B506" t="str">
            <v>A 2</v>
          </cell>
          <cell r="O506">
            <v>0</v>
          </cell>
        </row>
        <row r="507">
          <cell r="G507">
            <v>0</v>
          </cell>
          <cell r="O507">
            <v>0</v>
          </cell>
        </row>
        <row r="508">
          <cell r="B508" t="str">
            <v>A 2</v>
          </cell>
          <cell r="G508">
            <v>3033.38</v>
          </cell>
          <cell r="O508">
            <v>38764.57</v>
          </cell>
        </row>
        <row r="509">
          <cell r="B509" t="str">
            <v>A 2</v>
          </cell>
          <cell r="G509">
            <v>30599.89</v>
          </cell>
          <cell r="O509">
            <v>196984.62</v>
          </cell>
        </row>
        <row r="510">
          <cell r="O510">
            <v>0</v>
          </cell>
        </row>
        <row r="511">
          <cell r="B511" t="str">
            <v>A 2</v>
          </cell>
          <cell r="O511">
            <v>1284787</v>
          </cell>
        </row>
        <row r="512">
          <cell r="B512" t="str">
            <v>A 2</v>
          </cell>
          <cell r="O512">
            <v>932.26</v>
          </cell>
        </row>
        <row r="513">
          <cell r="B513" t="str">
            <v>A 2</v>
          </cell>
          <cell r="G513">
            <v>29.8</v>
          </cell>
          <cell r="O513">
            <v>0</v>
          </cell>
        </row>
        <row r="514">
          <cell r="O514">
            <v>0</v>
          </cell>
        </row>
        <row r="515">
          <cell r="O515">
            <v>0</v>
          </cell>
        </row>
        <row r="516">
          <cell r="B516" t="str">
            <v>A 2</v>
          </cell>
          <cell r="O516">
            <v>29.29</v>
          </cell>
        </row>
        <row r="517">
          <cell r="B517" t="str">
            <v>A 2</v>
          </cell>
          <cell r="O517">
            <v>0</v>
          </cell>
        </row>
        <row r="518">
          <cell r="B518" t="str">
            <v>A 2</v>
          </cell>
          <cell r="G518">
            <v>6711.9</v>
          </cell>
          <cell r="O518">
            <v>0</v>
          </cell>
        </row>
        <row r="519">
          <cell r="O519">
            <v>0</v>
          </cell>
        </row>
        <row r="520">
          <cell r="B520" t="str">
            <v>A 3</v>
          </cell>
          <cell r="G520">
            <v>3512.92</v>
          </cell>
          <cell r="O520">
            <v>10293.14</v>
          </cell>
        </row>
        <row r="521">
          <cell r="B521" t="str">
            <v>A 3</v>
          </cell>
          <cell r="G521">
            <v>615</v>
          </cell>
          <cell r="O521">
            <v>1709</v>
          </cell>
        </row>
        <row r="522">
          <cell r="B522" t="str">
            <v>A 3</v>
          </cell>
          <cell r="G522">
            <v>40556.19</v>
          </cell>
          <cell r="O522">
            <v>0</v>
          </cell>
        </row>
        <row r="523">
          <cell r="B523" t="str">
            <v>A 3</v>
          </cell>
          <cell r="O523">
            <v>0</v>
          </cell>
        </row>
        <row r="524">
          <cell r="B524" t="str">
            <v>A 3</v>
          </cell>
          <cell r="G524">
            <v>698.19</v>
          </cell>
          <cell r="O524">
            <v>3102</v>
          </cell>
        </row>
        <row r="525">
          <cell r="B525" t="str">
            <v>A 3</v>
          </cell>
          <cell r="G525">
            <v>17301.259999999998</v>
          </cell>
          <cell r="O525">
            <v>10.27</v>
          </cell>
          <cell r="Q525">
            <v>1521497.74</v>
          </cell>
        </row>
        <row r="526">
          <cell r="O526">
            <v>0</v>
          </cell>
        </row>
        <row r="527">
          <cell r="O527">
            <v>0</v>
          </cell>
        </row>
        <row r="528">
          <cell r="B528" t="str">
            <v>A 5</v>
          </cell>
          <cell r="G528">
            <v>141390.26</v>
          </cell>
          <cell r="O528">
            <v>0</v>
          </cell>
        </row>
        <row r="529">
          <cell r="B529" t="str">
            <v>A 5</v>
          </cell>
          <cell r="G529">
            <v>616583</v>
          </cell>
          <cell r="O529">
            <v>1090614.1499999999</v>
          </cell>
        </row>
        <row r="530">
          <cell r="B530" t="str">
            <v>A 5</v>
          </cell>
          <cell r="G530">
            <v>24811.51</v>
          </cell>
          <cell r="O530">
            <v>0</v>
          </cell>
        </row>
        <row r="531">
          <cell r="O531">
            <v>0</v>
          </cell>
        </row>
        <row r="532">
          <cell r="O532">
            <v>0</v>
          </cell>
        </row>
        <row r="533">
          <cell r="B533" t="str">
            <v>-B 14a</v>
          </cell>
          <cell r="G533">
            <v>4594.28</v>
          </cell>
          <cell r="O533">
            <v>177111.41</v>
          </cell>
        </row>
        <row r="534">
          <cell r="O534">
            <v>0</v>
          </cell>
        </row>
        <row r="535">
          <cell r="B535" t="str">
            <v>-B 14b</v>
          </cell>
          <cell r="G535">
            <v>172704.58</v>
          </cell>
          <cell r="O535">
            <v>198759.72</v>
          </cell>
        </row>
        <row r="536">
          <cell r="O536">
            <v>0</v>
          </cell>
        </row>
        <row r="537">
          <cell r="B537" t="str">
            <v>C 1</v>
          </cell>
          <cell r="G537">
            <v>43792.83</v>
          </cell>
          <cell r="O537">
            <v>3506.49</v>
          </cell>
        </row>
        <row r="538">
          <cell r="B538" t="str">
            <v>C 1</v>
          </cell>
          <cell r="G538">
            <v>319.48</v>
          </cell>
          <cell r="O538">
            <v>4.3099999999999996</v>
          </cell>
        </row>
        <row r="539">
          <cell r="O539">
            <v>0</v>
          </cell>
        </row>
        <row r="540">
          <cell r="O540">
            <v>0</v>
          </cell>
        </row>
        <row r="541">
          <cell r="B541" t="str">
            <v>E 5</v>
          </cell>
          <cell r="O541">
            <v>0</v>
          </cell>
        </row>
        <row r="542">
          <cell r="B542" t="str">
            <v>E 5</v>
          </cell>
          <cell r="G542">
            <v>129961.41</v>
          </cell>
          <cell r="O542">
            <v>0</v>
          </cell>
        </row>
        <row r="543">
          <cell r="B543" t="str">
            <v>E 5</v>
          </cell>
          <cell r="G543">
            <v>14.07</v>
          </cell>
          <cell r="O543">
            <v>0.48</v>
          </cell>
        </row>
        <row r="544">
          <cell r="B544" t="str">
            <v>E 5</v>
          </cell>
          <cell r="G544">
            <v>1174122.74</v>
          </cell>
          <cell r="O544">
            <v>0</v>
          </cell>
        </row>
        <row r="545">
          <cell r="O545">
            <v>0</v>
          </cell>
        </row>
        <row r="546">
          <cell r="O546">
            <v>0</v>
          </cell>
        </row>
        <row r="547">
          <cell r="G547">
            <v>8197092.189999979</v>
          </cell>
          <cell r="O547">
            <v>30402.548387669027</v>
          </cell>
        </row>
        <row r="549">
          <cell r="G549">
            <v>85540722.770000026</v>
          </cell>
          <cell r="O549">
            <v>140153316.33872578</v>
          </cell>
        </row>
        <row r="550">
          <cell r="G550">
            <v>77343630.580000013</v>
          </cell>
          <cell r="O550">
            <v>140153316.3434487</v>
          </cell>
        </row>
        <row r="551">
          <cell r="G551">
            <v>8197092.1900000125</v>
          </cell>
          <cell r="O551">
            <v>-4.7229230403900146E-3</v>
          </cell>
        </row>
        <row r="553">
          <cell r="G553">
            <v>47673180.930000022</v>
          </cell>
          <cell r="O553">
            <v>82997599.64972578</v>
          </cell>
        </row>
        <row r="554">
          <cell r="G554">
            <v>39476088.74000001</v>
          </cell>
          <cell r="O554">
            <v>82997599.654448748</v>
          </cell>
        </row>
        <row r="555">
          <cell r="G555">
            <v>8197092.1900000125</v>
          </cell>
          <cell r="O555">
            <v>-4.7229677438735962E-3</v>
          </cell>
        </row>
        <row r="557">
          <cell r="O557">
            <v>35196772.161612324</v>
          </cell>
        </row>
        <row r="558">
          <cell r="O558">
            <v>35227174.709999993</v>
          </cell>
        </row>
        <row r="559">
          <cell r="O559">
            <v>30402.548387669027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0FF4A-132C-4228-B74B-A84E52A477C8}">
  <sheetPr>
    <pageSetUpPr fitToPage="1"/>
  </sheetPr>
  <dimension ref="A1:U128"/>
  <sheetViews>
    <sheetView tabSelected="1" topLeftCell="N1" zoomScale="85" zoomScaleNormal="85" workbookViewId="0">
      <selection activeCell="N129" sqref="A129:XFD249"/>
    </sheetView>
  </sheetViews>
  <sheetFormatPr defaultRowHeight="12.75" x14ac:dyDescent="0.2"/>
  <cols>
    <col min="1" max="1" width="6.28515625" style="1" hidden="1" customWidth="1"/>
    <col min="2" max="2" width="2.5703125" style="1" hidden="1" customWidth="1"/>
    <col min="3" max="3" width="2" style="1" hidden="1" customWidth="1"/>
    <col min="4" max="4" width="4.5703125" style="3" hidden="1" customWidth="1"/>
    <col min="5" max="5" width="1" style="1" hidden="1" customWidth="1"/>
    <col min="6" max="6" width="1.28515625" style="1" hidden="1" customWidth="1"/>
    <col min="7" max="7" width="42.42578125" style="1" hidden="1" customWidth="1"/>
    <col min="8" max="8" width="15.28515625" style="1" hidden="1" customWidth="1"/>
    <col min="9" max="10" width="17.42578125" style="1" hidden="1" customWidth="1"/>
    <col min="11" max="11" width="5.28515625" style="2" hidden="1" customWidth="1"/>
    <col min="12" max="12" width="14.7109375" style="1" hidden="1" customWidth="1"/>
    <col min="13" max="13" width="15.5703125" style="1" hidden="1" customWidth="1"/>
    <col min="14" max="14" width="2.28515625" style="1" customWidth="1"/>
    <col min="15" max="15" width="60.85546875" style="1" customWidth="1"/>
    <col min="16" max="17" width="14.42578125" style="1" hidden="1" customWidth="1"/>
    <col min="18" max="18" width="14.5703125" style="1" hidden="1" customWidth="1"/>
    <col min="19" max="19" width="14.42578125" style="1" bestFit="1" customWidth="1"/>
    <col min="20" max="20" width="14" style="1" customWidth="1"/>
    <col min="21" max="21" width="14.42578125" style="1" bestFit="1" customWidth="1"/>
    <col min="22" max="22" width="13.42578125" style="1" bestFit="1" customWidth="1"/>
    <col min="23" max="23" width="11.28515625" style="1" customWidth="1"/>
    <col min="24" max="24" width="13.7109375" style="1" customWidth="1"/>
    <col min="25" max="25" width="12.85546875" style="1" customWidth="1"/>
    <col min="26" max="26" width="10.5703125" style="1" bestFit="1" customWidth="1"/>
    <col min="27" max="27" width="15.42578125" style="1" customWidth="1"/>
    <col min="28" max="16384" width="9.140625" style="1"/>
  </cols>
  <sheetData>
    <row r="1" spans="1:21" ht="70.5" customHeight="1" x14ac:dyDescent="0.2">
      <c r="A1"/>
      <c r="H1" s="104"/>
      <c r="I1" s="104"/>
      <c r="J1" s="104"/>
      <c r="K1" s="139"/>
      <c r="L1" s="104"/>
      <c r="M1" s="104"/>
      <c r="N1" s="104"/>
      <c r="O1" s="104"/>
      <c r="P1" s="104"/>
      <c r="Q1" s="104"/>
      <c r="R1" s="104"/>
    </row>
    <row r="2" spans="1:21" ht="28.5" customHeight="1" thickBot="1" x14ac:dyDescent="0.25">
      <c r="B2" s="134" t="s">
        <v>282</v>
      </c>
      <c r="C2" s="134"/>
      <c r="D2" s="134"/>
      <c r="E2" s="134"/>
      <c r="F2" s="134"/>
      <c r="G2" s="134"/>
      <c r="H2" s="104"/>
      <c r="I2" s="133"/>
      <c r="J2" s="133"/>
      <c r="K2" s="133"/>
      <c r="L2" s="104"/>
      <c r="M2" s="104"/>
      <c r="N2" s="104"/>
      <c r="O2" s="104"/>
      <c r="P2" s="104"/>
      <c r="Q2" s="104"/>
      <c r="R2" s="104"/>
    </row>
    <row r="3" spans="1:21" ht="16.5" thickBot="1" x14ac:dyDescent="0.3">
      <c r="B3" s="289"/>
      <c r="C3" s="222"/>
      <c r="D3" s="221"/>
      <c r="E3" s="220"/>
      <c r="F3" s="219"/>
      <c r="G3" s="218"/>
      <c r="H3" s="98"/>
      <c r="I3" s="123">
        <v>39447</v>
      </c>
      <c r="J3" s="122" t="s">
        <v>171</v>
      </c>
      <c r="K3" s="121" t="s">
        <v>170</v>
      </c>
      <c r="L3" s="98">
        <v>43465</v>
      </c>
      <c r="M3" s="288" t="s">
        <v>152</v>
      </c>
      <c r="N3" s="287"/>
      <c r="O3" s="199" t="s">
        <v>408</v>
      </c>
      <c r="P3" s="98">
        <v>45657</v>
      </c>
      <c r="Q3" s="97">
        <v>45291</v>
      </c>
      <c r="R3" s="99" t="s">
        <v>152</v>
      </c>
      <c r="S3" s="98">
        <v>44926</v>
      </c>
      <c r="T3" s="98">
        <v>45291</v>
      </c>
      <c r="U3" s="98">
        <v>45657</v>
      </c>
    </row>
    <row r="4" spans="1:21" ht="29.25" customHeight="1" x14ac:dyDescent="0.25">
      <c r="B4" s="286" t="s">
        <v>407</v>
      </c>
      <c r="C4" s="207"/>
      <c r="D4" s="166"/>
      <c r="E4" s="165"/>
      <c r="F4" s="82"/>
      <c r="G4" s="195"/>
      <c r="H4" s="284"/>
      <c r="I4" s="209"/>
      <c r="J4" s="172"/>
      <c r="K4" s="285"/>
      <c r="L4" s="284"/>
      <c r="M4" s="284"/>
      <c r="O4" s="283" t="s">
        <v>406</v>
      </c>
      <c r="P4" s="280"/>
      <c r="Q4" s="282"/>
      <c r="R4" s="281"/>
      <c r="S4" s="280"/>
      <c r="T4" s="280"/>
      <c r="U4" s="280"/>
    </row>
    <row r="5" spans="1:21" x14ac:dyDescent="0.2">
      <c r="B5" s="171"/>
      <c r="C5" s="207"/>
      <c r="D5" s="166"/>
      <c r="E5" s="165"/>
      <c r="F5" s="82"/>
      <c r="G5" s="195"/>
      <c r="H5" s="30"/>
      <c r="I5" s="209"/>
      <c r="J5" s="172"/>
      <c r="K5" s="274"/>
      <c r="L5" s="30"/>
      <c r="M5" s="30"/>
      <c r="O5" s="193" t="s">
        <v>405</v>
      </c>
      <c r="P5" s="275"/>
      <c r="Q5" s="275"/>
      <c r="R5" s="276"/>
      <c r="S5" s="275"/>
      <c r="T5" s="275"/>
      <c r="U5" s="275"/>
    </row>
    <row r="6" spans="1:21" ht="13.5" x14ac:dyDescent="0.25">
      <c r="B6" s="171" t="s">
        <v>168</v>
      </c>
      <c r="C6" s="279"/>
      <c r="D6" s="278"/>
      <c r="E6" s="165" t="s">
        <v>404</v>
      </c>
      <c r="F6" s="277"/>
      <c r="G6" s="272"/>
      <c r="H6" s="64"/>
      <c r="I6" s="170"/>
      <c r="J6" s="172"/>
      <c r="K6" s="274"/>
      <c r="L6" s="64"/>
      <c r="M6" s="64"/>
      <c r="O6" s="254" t="s">
        <v>403</v>
      </c>
      <c r="P6" s="275"/>
      <c r="Q6" s="275"/>
      <c r="R6" s="276"/>
      <c r="S6" s="275"/>
      <c r="T6" s="275"/>
      <c r="U6" s="275"/>
    </row>
    <row r="7" spans="1:21" x14ac:dyDescent="0.2">
      <c r="B7" s="171"/>
      <c r="C7" s="250" t="s">
        <v>275</v>
      </c>
      <c r="D7" s="166"/>
      <c r="E7" s="165"/>
      <c r="F7" s="200" t="s">
        <v>402</v>
      </c>
      <c r="G7" s="195"/>
      <c r="H7" s="49"/>
      <c r="I7" s="248"/>
      <c r="J7" s="172"/>
      <c r="K7" s="274"/>
      <c r="L7" s="49"/>
      <c r="M7" s="49"/>
      <c r="O7" s="153" t="s">
        <v>401</v>
      </c>
      <c r="P7" s="136">
        <f>+H8</f>
        <v>0</v>
      </c>
      <c r="Q7" s="136">
        <v>0</v>
      </c>
      <c r="R7" s="137">
        <f>+P7-Q7</f>
        <v>0</v>
      </c>
      <c r="S7" s="136">
        <v>0</v>
      </c>
      <c r="T7" s="136">
        <v>0</v>
      </c>
      <c r="U7" s="136">
        <v>0</v>
      </c>
    </row>
    <row r="8" spans="1:21" x14ac:dyDescent="0.2">
      <c r="A8" s="1" t="s">
        <v>400</v>
      </c>
      <c r="B8" s="171"/>
      <c r="C8" s="207"/>
      <c r="D8" s="166" t="s">
        <v>165</v>
      </c>
      <c r="E8" s="165"/>
      <c r="F8" s="82"/>
      <c r="G8" s="273" t="s">
        <v>120</v>
      </c>
      <c r="H8" s="240">
        <f>SUMIF('[1]BDV 2024'!$B$1:$B$65536,$A8,'[1]BDV 2024'!$O$1:$O$65536)+SUMIF('[1]BDV 2024'!$B$1:$B$65536,#REF!,'[1]BDV 2024'!$O$1:$O$65536)</f>
        <v>0</v>
      </c>
      <c r="I8" s="227">
        <v>0</v>
      </c>
      <c r="J8" s="227">
        <f>H8-I8</f>
        <v>0</v>
      </c>
      <c r="K8" s="227">
        <f>IF(I8=0,0,J8/I8*100)</f>
        <v>0</v>
      </c>
      <c r="L8" s="240">
        <v>0</v>
      </c>
      <c r="M8" s="240">
        <f>H8-L8</f>
        <v>0</v>
      </c>
      <c r="O8" s="153" t="s">
        <v>399</v>
      </c>
      <c r="P8" s="180"/>
      <c r="Q8" s="180"/>
      <c r="R8" s="137">
        <f>+P8-Q8</f>
        <v>0</v>
      </c>
      <c r="S8" s="180"/>
      <c r="T8" s="180"/>
      <c r="U8" s="180"/>
    </row>
    <row r="9" spans="1:21" x14ac:dyDescent="0.2">
      <c r="A9" s="1" t="s">
        <v>398</v>
      </c>
      <c r="B9" s="171"/>
      <c r="C9" s="207"/>
      <c r="D9" s="166">
        <v>2</v>
      </c>
      <c r="E9" s="165"/>
      <c r="F9" s="82"/>
      <c r="G9" s="273" t="s">
        <v>118</v>
      </c>
      <c r="H9" s="240">
        <f>SUMIF('[1]BDV 2024'!$B$1:$B$65536,$A9,'[1]BDV 2024'!$O$1:$O$65536)+SUMIF('[1]BDV 2024'!$B$1:$B$65536,#REF!,'[1]BDV 2024'!$O$1:$O$65536)</f>
        <v>0</v>
      </c>
      <c r="I9" s="227">
        <v>0</v>
      </c>
      <c r="J9" s="227">
        <f>H9-I9</f>
        <v>0</v>
      </c>
      <c r="K9" s="227">
        <f>IF(I9=0,0,J9/I9*100)</f>
        <v>0</v>
      </c>
      <c r="L9" s="61">
        <v>0</v>
      </c>
      <c r="M9" s="40">
        <f>H9-L9</f>
        <v>0</v>
      </c>
      <c r="O9" s="153" t="s">
        <v>397</v>
      </c>
      <c r="P9" s="136"/>
      <c r="Q9" s="136"/>
      <c r="R9" s="137">
        <f>+P9-Q9</f>
        <v>0</v>
      </c>
      <c r="S9" s="136"/>
      <c r="T9" s="136"/>
      <c r="U9" s="136"/>
    </row>
    <row r="10" spans="1:21" x14ac:dyDescent="0.2">
      <c r="A10" s="1" t="s">
        <v>396</v>
      </c>
      <c r="B10" s="171"/>
      <c r="C10" s="207"/>
      <c r="D10" s="166">
        <v>3</v>
      </c>
      <c r="E10" s="165"/>
      <c r="F10" s="82"/>
      <c r="G10" s="195" t="s">
        <v>117</v>
      </c>
      <c r="H10" s="261">
        <f>SUMIF('[1]BDV 2024'!$B$1:$B$65536,$A10,'[1]BDV 2024'!$O$1:$O$65536)+SUMIF('[1]BDV 2024'!$B$1:$B$65536,#REF!,'[1]BDV 2024'!$O$1:$O$65536)</f>
        <v>716379</v>
      </c>
      <c r="I10" s="227">
        <v>0</v>
      </c>
      <c r="J10" s="227">
        <f>H10-I10</f>
        <v>716379</v>
      </c>
      <c r="K10" s="227">
        <f>IF(I10=0,0,J10/I10*100)</f>
        <v>0</v>
      </c>
      <c r="L10" s="240">
        <v>0</v>
      </c>
      <c r="M10" s="49">
        <f>H10-L10+1</f>
        <v>716380</v>
      </c>
      <c r="O10" s="153" t="s">
        <v>395</v>
      </c>
      <c r="P10" s="136">
        <f>+H10</f>
        <v>716379</v>
      </c>
      <c r="Q10" s="136">
        <v>1124621.58</v>
      </c>
      <c r="R10" s="137">
        <f>+P10-Q10</f>
        <v>-408242.58000000007</v>
      </c>
      <c r="S10" s="136">
        <v>1590228.58</v>
      </c>
      <c r="T10" s="136">
        <v>1124621.58</v>
      </c>
      <c r="U10" s="136">
        <v>716379</v>
      </c>
    </row>
    <row r="11" spans="1:21" x14ac:dyDescent="0.2">
      <c r="A11" s="1" t="s">
        <v>394</v>
      </c>
      <c r="B11" s="171"/>
      <c r="C11" s="207"/>
      <c r="D11" s="166">
        <v>4</v>
      </c>
      <c r="E11" s="165"/>
      <c r="F11" s="82"/>
      <c r="G11" s="195" t="s">
        <v>366</v>
      </c>
      <c r="H11" s="240">
        <f>SUMIF('[1]BDV 2024'!$B$1:$B$65536,$A11,'[1]BDV 2024'!$O$1:$O$65536)</f>
        <v>0</v>
      </c>
      <c r="I11" s="227">
        <v>0</v>
      </c>
      <c r="J11" s="227">
        <f>H11-I11</f>
        <v>0</v>
      </c>
      <c r="K11" s="227">
        <f>IF(I11=0,0,J11/I11*100)</f>
        <v>0</v>
      </c>
      <c r="L11" s="61">
        <v>0</v>
      </c>
      <c r="M11" s="40">
        <f>H11-L11</f>
        <v>0</v>
      </c>
      <c r="O11" s="153" t="s">
        <v>393</v>
      </c>
      <c r="P11" s="136"/>
      <c r="Q11" s="136"/>
      <c r="R11" s="137">
        <f>+P11-Q11</f>
        <v>0</v>
      </c>
      <c r="S11" s="136"/>
      <c r="T11" s="136"/>
      <c r="U11" s="136"/>
    </row>
    <row r="12" spans="1:21" x14ac:dyDescent="0.2">
      <c r="A12" s="1" t="s">
        <v>392</v>
      </c>
      <c r="B12" s="171"/>
      <c r="C12" s="207"/>
      <c r="D12" s="166">
        <v>5</v>
      </c>
      <c r="E12" s="165"/>
      <c r="F12" s="82"/>
      <c r="G12" s="195" t="s">
        <v>115</v>
      </c>
      <c r="H12" s="235">
        <f>SUMIF('[1]BDV 2024'!$B$1:$B$65536,$A12,'[1]BDV 2024'!$O$1:$O$65536)+SUMIF('[1]BDV 2024'!$B$1:$B$65536,#REF!,'[1]BDV 2024'!$O$1:$O$65536)</f>
        <v>14196217.498725867</v>
      </c>
      <c r="I12" s="176">
        <v>185939.32</v>
      </c>
      <c r="J12" s="28">
        <f>H12-I12</f>
        <v>14010278.178725867</v>
      </c>
      <c r="K12" s="232">
        <f>IF(I12=0,0,J12/I12*100)</f>
        <v>7534.86577165382</v>
      </c>
      <c r="L12" s="50">
        <v>180981.97</v>
      </c>
      <c r="M12" s="49">
        <f>H12-L12</f>
        <v>14015235.528725866</v>
      </c>
      <c r="O12" s="153" t="s">
        <v>391</v>
      </c>
      <c r="P12" s="136"/>
      <c r="Q12" s="136"/>
      <c r="R12" s="137">
        <f>+P12-Q12</f>
        <v>0</v>
      </c>
      <c r="S12" s="136"/>
      <c r="T12" s="136"/>
      <c r="U12" s="136"/>
    </row>
    <row r="13" spans="1:21" ht="13.5" x14ac:dyDescent="0.25">
      <c r="B13" s="171"/>
      <c r="C13" s="207"/>
      <c r="D13" s="166"/>
      <c r="E13" s="165"/>
      <c r="F13" s="247" t="s">
        <v>340</v>
      </c>
      <c r="G13" s="272"/>
      <c r="H13" s="246">
        <f>SUM(H8:H12)</f>
        <v>14912596.498725867</v>
      </c>
      <c r="I13" s="245">
        <f>SUM(I8:I12)</f>
        <v>185939.32</v>
      </c>
      <c r="J13" s="244">
        <f>H13-I13</f>
        <v>14726657.178725867</v>
      </c>
      <c r="K13" s="243">
        <f>IF(I13=0,0,J13/I13*100)</f>
        <v>7920.1414626695778</v>
      </c>
      <c r="L13" s="192">
        <v>180981.97</v>
      </c>
      <c r="M13" s="192">
        <f>H13-L13</f>
        <v>14731614.528725866</v>
      </c>
      <c r="O13" s="153" t="s">
        <v>390</v>
      </c>
      <c r="P13" s="135">
        <f>+H12</f>
        <v>14196217.498725867</v>
      </c>
      <c r="Q13" s="135">
        <v>14660346.439498069</v>
      </c>
      <c r="R13" s="150">
        <f>+P13-Q13</f>
        <v>-464128.94077220187</v>
      </c>
      <c r="S13" s="135">
        <v>758201.24027027027</v>
      </c>
      <c r="T13" s="135">
        <v>14660346.439498069</v>
      </c>
      <c r="U13" s="135">
        <v>14196217.498725867</v>
      </c>
    </row>
    <row r="14" spans="1:21" x14ac:dyDescent="0.2">
      <c r="B14" s="171"/>
      <c r="C14" s="207"/>
      <c r="D14" s="166"/>
      <c r="E14" s="165"/>
      <c r="F14" s="82"/>
      <c r="G14" s="195"/>
      <c r="H14" s="235"/>
      <c r="I14" s="173"/>
      <c r="J14" s="172"/>
      <c r="K14" s="232"/>
      <c r="L14" s="50"/>
      <c r="M14" s="49" t="s">
        <v>174</v>
      </c>
      <c r="O14" s="191" t="s">
        <v>389</v>
      </c>
      <c r="P14" s="189">
        <f>SUM(P7:P13)</f>
        <v>14912596.498725867</v>
      </c>
      <c r="Q14" s="189">
        <v>15784968.019498069</v>
      </c>
      <c r="R14" s="190">
        <f>+P14-Q14</f>
        <v>-872371.52077220194</v>
      </c>
      <c r="S14" s="189">
        <v>2348429.8202702701</v>
      </c>
      <c r="T14" s="189">
        <v>15784968.019498069</v>
      </c>
      <c r="U14" s="189">
        <v>14912596.498725867</v>
      </c>
    </row>
    <row r="15" spans="1:21" x14ac:dyDescent="0.2">
      <c r="B15" s="171"/>
      <c r="C15" s="250" t="s">
        <v>272</v>
      </c>
      <c r="D15" s="166"/>
      <c r="E15" s="165"/>
      <c r="F15" s="200" t="s">
        <v>388</v>
      </c>
      <c r="G15" s="195"/>
      <c r="H15" s="249"/>
      <c r="I15" s="248"/>
      <c r="J15" s="172"/>
      <c r="K15" s="232"/>
      <c r="L15" s="49"/>
      <c r="M15" s="49" t="s">
        <v>174</v>
      </c>
      <c r="O15" s="271" t="s">
        <v>387</v>
      </c>
      <c r="P15" s="186"/>
      <c r="Q15" s="186"/>
      <c r="R15" s="187">
        <f>+P15-Q15</f>
        <v>0</v>
      </c>
      <c r="S15" s="186"/>
      <c r="T15" s="186"/>
      <c r="U15" s="186"/>
    </row>
    <row r="16" spans="1:21" x14ac:dyDescent="0.2">
      <c r="A16" s="1" t="s">
        <v>386</v>
      </c>
      <c r="B16" s="171"/>
      <c r="C16" s="207"/>
      <c r="D16" s="166" t="s">
        <v>165</v>
      </c>
      <c r="E16" s="165"/>
      <c r="F16" s="82"/>
      <c r="G16" s="195" t="s">
        <v>385</v>
      </c>
      <c r="H16" s="240">
        <f>SUMIF('[1]BDV 2024'!$B$1:$B$65536,$A16,'[1]BDV 2024'!$O$1:$O$65536)</f>
        <v>0</v>
      </c>
      <c r="I16" s="176">
        <v>0</v>
      </c>
      <c r="J16" s="28">
        <f>H16-I16</f>
        <v>0</v>
      </c>
      <c r="K16" s="232">
        <f>IF(I16=0,0,J16/I16*100)</f>
        <v>0</v>
      </c>
      <c r="L16" s="61">
        <v>0</v>
      </c>
      <c r="M16" s="40">
        <f>H16-L16</f>
        <v>0</v>
      </c>
      <c r="O16" s="153" t="s">
        <v>384</v>
      </c>
      <c r="P16" s="136">
        <f>+H17</f>
        <v>16677864.15</v>
      </c>
      <c r="Q16" s="136">
        <v>8741685.3765000012</v>
      </c>
      <c r="R16" s="137">
        <f>+P16-Q16</f>
        <v>7936178.7734999992</v>
      </c>
      <c r="S16" s="136">
        <v>9242021.3010000009</v>
      </c>
      <c r="T16" s="136">
        <v>8741685.3765000012</v>
      </c>
      <c r="U16" s="136">
        <v>8241349.4520000014</v>
      </c>
    </row>
    <row r="17" spans="1:21" x14ac:dyDescent="0.2">
      <c r="B17" s="171"/>
      <c r="C17" s="207"/>
      <c r="D17" s="166">
        <v>2</v>
      </c>
      <c r="E17" s="165"/>
      <c r="F17" s="82"/>
      <c r="G17" s="195" t="s">
        <v>383</v>
      </c>
      <c r="H17" s="261">
        <f>H18+H19</f>
        <v>16677864.15</v>
      </c>
      <c r="I17" s="270">
        <f>I18+I19</f>
        <v>78537419.099999994</v>
      </c>
      <c r="J17" s="28">
        <f>H17-I17</f>
        <v>-61859554.949999996</v>
      </c>
      <c r="K17" s="232">
        <f>IF(I17=0,0,J17/I17*100)</f>
        <v>-78.764435677769811</v>
      </c>
      <c r="L17" s="30">
        <v>9398947.6400000006</v>
      </c>
      <c r="M17" s="49">
        <f>H17-L17+1</f>
        <v>7278917.5099999998</v>
      </c>
      <c r="O17" s="153" t="s">
        <v>382</v>
      </c>
      <c r="P17" s="136">
        <f>+H20</f>
        <v>13228385.52</v>
      </c>
      <c r="Q17" s="136">
        <v>7081659.8500000006</v>
      </c>
      <c r="R17" s="137">
        <f>+P17-Q17</f>
        <v>6146725.669999999</v>
      </c>
      <c r="S17" s="136">
        <v>7710172.9749999996</v>
      </c>
      <c r="T17" s="136">
        <v>7081659.8500000006</v>
      </c>
      <c r="U17" s="136">
        <v>5631522.2400000002</v>
      </c>
    </row>
    <row r="18" spans="1:21" x14ac:dyDescent="0.2">
      <c r="A18" s="1" t="s">
        <v>381</v>
      </c>
      <c r="B18" s="171"/>
      <c r="C18" s="207"/>
      <c r="D18" s="166"/>
      <c r="E18" s="70" t="s">
        <v>89</v>
      </c>
      <c r="F18" s="82"/>
      <c r="G18" s="268" t="s">
        <v>112</v>
      </c>
      <c r="H18" s="269">
        <f>SUMIF('[1]BDV 2024'!$B$1:$B$65536,$A18,'[1]BDV 2024'!$O$1:$O$65536)-SUMIF('[1]BDV 2024'!$B$1:$B$65536,#REF!,'[1]BDV 2024'!$O$1:$O$65536)</f>
        <v>0</v>
      </c>
      <c r="I18" s="266">
        <v>4400045.4800000004</v>
      </c>
      <c r="J18" s="265">
        <f>H18-I18</f>
        <v>-4400045.4800000004</v>
      </c>
      <c r="K18" s="264">
        <f>IF(I18=0,0,J18/I18*100)</f>
        <v>-100</v>
      </c>
      <c r="L18" s="61">
        <v>0</v>
      </c>
      <c r="M18" s="61">
        <f>H18-L18</f>
        <v>0</v>
      </c>
      <c r="O18" s="153" t="s">
        <v>380</v>
      </c>
      <c r="P18" s="136">
        <f>+H21</f>
        <v>35362655.240000002</v>
      </c>
      <c r="Q18" s="136">
        <v>7086559.5080000013</v>
      </c>
      <c r="R18" s="137">
        <f>+P18-Q18</f>
        <v>28276095.732000001</v>
      </c>
      <c r="S18" s="136">
        <v>9008542.887000002</v>
      </c>
      <c r="T18" s="136">
        <v>7086559.5080000013</v>
      </c>
      <c r="U18" s="136">
        <v>5572446.4090000018</v>
      </c>
    </row>
    <row r="19" spans="1:21" x14ac:dyDescent="0.2">
      <c r="A19" s="1" t="s">
        <v>379</v>
      </c>
      <c r="B19" s="171"/>
      <c r="C19" s="207"/>
      <c r="D19" s="166"/>
      <c r="E19" s="70" t="s">
        <v>87</v>
      </c>
      <c r="F19" s="82"/>
      <c r="G19" s="268" t="s">
        <v>110</v>
      </c>
      <c r="H19" s="267">
        <f>SUMIF('[1]BDV 2024'!$B$1:$B$65536,$A19,'[1]BDV 2024'!$O$1:$O$65536)-SUMIF('[1]BDV 2024'!$B$1:$B$65536,#REF!,'[1]BDV 2024'!$O$1:$O$65536)</f>
        <v>16677864.15</v>
      </c>
      <c r="I19" s="266">
        <v>74137373.61999999</v>
      </c>
      <c r="J19" s="265">
        <f>H19-I19</f>
        <v>-57459509.469999991</v>
      </c>
      <c r="K19" s="264">
        <f>IF(I19=0,0,J19/I19*100)</f>
        <v>-77.504107124856631</v>
      </c>
      <c r="L19" s="263">
        <v>9398947.6400000006</v>
      </c>
      <c r="M19" s="262">
        <f>H19-L19+1</f>
        <v>7278917.5099999998</v>
      </c>
      <c r="O19" s="153" t="s">
        <v>378</v>
      </c>
      <c r="P19" s="136">
        <f>+H22</f>
        <v>2772029.58</v>
      </c>
      <c r="Q19" s="136">
        <v>102166.77000000048</v>
      </c>
      <c r="R19" s="137">
        <f>+P19-Q19</f>
        <v>2669862.8099999996</v>
      </c>
      <c r="S19" s="136">
        <v>129599.40000000037</v>
      </c>
      <c r="T19" s="136">
        <v>102166.77000000048</v>
      </c>
      <c r="U19" s="136">
        <v>74734.140000000596</v>
      </c>
    </row>
    <row r="20" spans="1:21" x14ac:dyDescent="0.2">
      <c r="A20" s="1" t="s">
        <v>377</v>
      </c>
      <c r="B20" s="171"/>
      <c r="C20" s="207"/>
      <c r="D20" s="166">
        <v>3</v>
      </c>
      <c r="E20" s="165"/>
      <c r="F20" s="82"/>
      <c r="G20" s="195" t="s">
        <v>106</v>
      </c>
      <c r="H20" s="261">
        <f>SUMIF('[1]BDV 2024'!$B$1:$B$65536,$A20,'[1]BDV 2024'!$O$1:$O$65536)-SUMIF('[1]BDV 2024'!$B$1:$B$65536,#REF!,'[1]BDV 2024'!$O$1:$O$65536)</f>
        <v>13228385.52</v>
      </c>
      <c r="I20" s="176">
        <v>0</v>
      </c>
      <c r="J20" s="28">
        <f>H20-I20</f>
        <v>13228385.52</v>
      </c>
      <c r="K20" s="232">
        <f>IF(I20=0,0,J20/I20*100)</f>
        <v>0</v>
      </c>
      <c r="L20" s="30">
        <v>1095563.77</v>
      </c>
      <c r="M20" s="49">
        <f>H20-L20-1</f>
        <v>12132820.75</v>
      </c>
      <c r="O20" s="153" t="s">
        <v>376</v>
      </c>
      <c r="P20" s="136">
        <f>+H23</f>
        <v>6294552.7899999991</v>
      </c>
      <c r="Q20" s="136">
        <v>2008048.9999999991</v>
      </c>
      <c r="R20" s="137">
        <f>+P20-Q20</f>
        <v>4286503.79</v>
      </c>
      <c r="S20" s="136">
        <v>2608919.9999999991</v>
      </c>
      <c r="T20" s="136">
        <v>2008048.9999999991</v>
      </c>
      <c r="U20" s="136">
        <v>1407177.9999999991</v>
      </c>
    </row>
    <row r="21" spans="1:21" x14ac:dyDescent="0.2">
      <c r="A21" s="1" t="s">
        <v>375</v>
      </c>
      <c r="B21" s="171"/>
      <c r="C21" s="207"/>
      <c r="D21" s="166">
        <v>4</v>
      </c>
      <c r="E21" s="165"/>
      <c r="F21" s="82"/>
      <c r="G21" s="195" t="s">
        <v>104</v>
      </c>
      <c r="H21" s="235">
        <f>SUMIF('[1]BDV 2024'!$B$1:$B$65536,$A21,'[1]BDV 2024'!$O$1:$O$65536)-SUMIF('[1]BDV 2024'!$B$1:$B$65536,#REF!,'[1]BDV 2024'!$O$1:$O$65536)</f>
        <v>35362655.240000002</v>
      </c>
      <c r="I21" s="176">
        <v>5841431.0399999991</v>
      </c>
      <c r="J21" s="28">
        <f>H21-I21</f>
        <v>29521224.200000003</v>
      </c>
      <c r="K21" s="232">
        <f>IF(I21=0,0,J21/I21*100)</f>
        <v>505.37657635345477</v>
      </c>
      <c r="L21" s="50">
        <v>3878779.9399999976</v>
      </c>
      <c r="M21" s="49">
        <f>H21-L21-1</f>
        <v>31483874.300000004</v>
      </c>
      <c r="O21" s="153" t="s">
        <v>374</v>
      </c>
      <c r="P21" s="136">
        <f>+H24</f>
        <v>3618153.98</v>
      </c>
      <c r="Q21" s="136">
        <v>599735.75</v>
      </c>
      <c r="R21" s="137">
        <f>+P21-Q21</f>
        <v>3018418.23</v>
      </c>
      <c r="S21" s="136">
        <v>966355.75</v>
      </c>
      <c r="T21" s="136">
        <v>599735.75</v>
      </c>
      <c r="U21" s="136">
        <v>233115.75</v>
      </c>
    </row>
    <row r="22" spans="1:21" x14ac:dyDescent="0.2">
      <c r="A22" s="1" t="s">
        <v>373</v>
      </c>
      <c r="B22" s="171"/>
      <c r="C22" s="207"/>
      <c r="D22" s="166">
        <v>5</v>
      </c>
      <c r="E22" s="165"/>
      <c r="F22" s="82"/>
      <c r="G22" s="195" t="s">
        <v>101</v>
      </c>
      <c r="H22" s="261">
        <f>SUMIF('[1]BDV 2024'!$B$1:$B$65536,$A22,'[1]BDV 2024'!$O$1:$O$65536)-SUMIF('[1]BDV 2024'!$B$1:$B$65536,#REF!,'[1]BDV 2024'!$O$1:$O$65536)</f>
        <v>2772029.58</v>
      </c>
      <c r="I22" s="176">
        <v>109932.75</v>
      </c>
      <c r="J22" s="28">
        <f>H22-I22</f>
        <v>2662096.83</v>
      </c>
      <c r="K22" s="232">
        <f>IF(I22=0,0,J22/I22*100)</f>
        <v>2421.5684861881473</v>
      </c>
      <c r="L22" s="30">
        <v>26617.319999999832</v>
      </c>
      <c r="M22" s="49">
        <f>H22-L22+1</f>
        <v>2745413.2600000002</v>
      </c>
      <c r="O22" s="151" t="s">
        <v>372</v>
      </c>
      <c r="P22" s="135">
        <f>+H25</f>
        <v>487780.46</v>
      </c>
      <c r="Q22" s="135">
        <v>487780.46</v>
      </c>
      <c r="R22" s="150">
        <f>+P22-Q22</f>
        <v>0</v>
      </c>
      <c r="S22" s="135">
        <v>487780.46</v>
      </c>
      <c r="T22" s="135">
        <v>487780.46</v>
      </c>
      <c r="U22" s="135">
        <v>487780.46</v>
      </c>
    </row>
    <row r="23" spans="1:21" x14ac:dyDescent="0.2">
      <c r="A23" s="1" t="s">
        <v>371</v>
      </c>
      <c r="B23" s="171"/>
      <c r="C23" s="207"/>
      <c r="D23" s="166">
        <v>6</v>
      </c>
      <c r="E23" s="165"/>
      <c r="F23" s="82"/>
      <c r="G23" s="195" t="s">
        <v>98</v>
      </c>
      <c r="H23" s="261">
        <f>SUMIF('[1]BDV 2024'!$B$1:$B$65536,$A23,'[1]BDV 2024'!$O$1:$O$65536)-SUMIF('[1]BDV 2024'!$B$1:$B$65536,#REF!,'[1]BDV 2024'!$O$1:$O$65536)</f>
        <v>6294552.7899999991</v>
      </c>
      <c r="I23" s="176">
        <v>68659.810000000056</v>
      </c>
      <c r="J23" s="28">
        <f>H23-I23</f>
        <v>6225892.9799999986</v>
      </c>
      <c r="K23" s="232">
        <f>IF(I23=0,0,J23/I23*100)</f>
        <v>9067.7398903375852</v>
      </c>
      <c r="L23" s="30">
        <v>84540.630000000354</v>
      </c>
      <c r="M23" s="49">
        <f>H23-L23</f>
        <v>6210012.1599999983</v>
      </c>
      <c r="O23" s="191" t="s">
        <v>370</v>
      </c>
      <c r="P23" s="189">
        <f>SUM(P16:P22)</f>
        <v>78441421.719999999</v>
      </c>
      <c r="Q23" s="189">
        <v>26107636.714500003</v>
      </c>
      <c r="R23" s="190">
        <f>+P23-Q23</f>
        <v>52333785.005499996</v>
      </c>
      <c r="S23" s="189">
        <v>30153392.773000002</v>
      </c>
      <c r="T23" s="189">
        <v>26107636.714500003</v>
      </c>
      <c r="U23" s="189">
        <v>21648126.451000005</v>
      </c>
    </row>
    <row r="24" spans="1:21" ht="10.5" customHeight="1" x14ac:dyDescent="0.2">
      <c r="A24" s="1" t="s">
        <v>369</v>
      </c>
      <c r="B24" s="171"/>
      <c r="C24" s="207"/>
      <c r="D24" s="166">
        <v>7</v>
      </c>
      <c r="E24" s="165"/>
      <c r="F24" s="82"/>
      <c r="G24" s="195" t="s">
        <v>95</v>
      </c>
      <c r="H24" s="261">
        <f>SUMIF('[1]BDV 2024'!$B$1:$B$65536,$A24,'[1]BDV 2024'!$O$1:$O$65536)-SUMIF('[1]BDV 2024'!$B$1:$B$65536,#REF!,'[1]BDV 2024'!$O$1:$O$65536)</f>
        <v>3618153.98</v>
      </c>
      <c r="I24" s="176">
        <v>1620258.93</v>
      </c>
      <c r="J24" s="28">
        <f>H24-I24</f>
        <v>1997895.05</v>
      </c>
      <c r="K24" s="232">
        <f>IF(I24=0,0,J24/I24*100)</f>
        <v>123.30714634604732</v>
      </c>
      <c r="L24" s="30">
        <v>590891.34000000032</v>
      </c>
      <c r="M24" s="49">
        <f>H24-L24-1</f>
        <v>3027261.6399999997</v>
      </c>
      <c r="O24" s="13" t="s">
        <v>368</v>
      </c>
      <c r="P24" s="136"/>
      <c r="Q24" s="136"/>
      <c r="R24" s="137">
        <f>+P24-Q24</f>
        <v>0</v>
      </c>
      <c r="S24" s="136"/>
      <c r="T24" s="136"/>
      <c r="U24" s="136"/>
    </row>
    <row r="25" spans="1:21" x14ac:dyDescent="0.2">
      <c r="A25" s="1" t="s">
        <v>367</v>
      </c>
      <c r="B25" s="171"/>
      <c r="C25" s="207"/>
      <c r="D25" s="166">
        <v>8</v>
      </c>
      <c r="E25" s="165"/>
      <c r="F25" s="82"/>
      <c r="G25" s="195" t="s">
        <v>366</v>
      </c>
      <c r="H25" s="261">
        <f>SUMIF('[1]BDV 2024'!$B$1:$B$65536,$A25,'[1]BDV 2024'!$O$1:$O$65536)</f>
        <v>487780.46</v>
      </c>
      <c r="I25" s="176">
        <v>43350234.410000004</v>
      </c>
      <c r="J25" s="28">
        <f>H25-I25</f>
        <v>-42862453.950000003</v>
      </c>
      <c r="K25" s="232">
        <f>IF(I25=0,0,J25/I25*100)</f>
        <v>-98.874791643831387</v>
      </c>
      <c r="L25" s="30">
        <v>487780.46</v>
      </c>
      <c r="M25" s="49">
        <f>H25-L25</f>
        <v>0</v>
      </c>
      <c r="O25" s="153" t="s">
        <v>365</v>
      </c>
      <c r="P25" s="136"/>
      <c r="Q25" s="136"/>
      <c r="R25" s="137">
        <f>+P25-Q25</f>
        <v>0</v>
      </c>
      <c r="S25" s="136"/>
      <c r="T25" s="136"/>
      <c r="U25" s="136"/>
    </row>
    <row r="26" spans="1:21" ht="13.5" x14ac:dyDescent="0.25">
      <c r="B26" s="171"/>
      <c r="C26" s="207"/>
      <c r="D26" s="166"/>
      <c r="E26" s="165"/>
      <c r="F26" s="247" t="s">
        <v>321</v>
      </c>
      <c r="G26" s="195"/>
      <c r="H26" s="246">
        <f>H16+H17+H20+H21+H22+H23+H24+H25</f>
        <v>78441421.719999999</v>
      </c>
      <c r="I26" s="245">
        <f>I16+I17+I20+I21+I22+I23+I24+I25</f>
        <v>129527936.03999999</v>
      </c>
      <c r="J26" s="244">
        <f>H26-I26</f>
        <v>-51086514.319999993</v>
      </c>
      <c r="K26" s="243">
        <f>IF(I26=0,0,J26/I26*100)</f>
        <v>-39.440537602810082</v>
      </c>
      <c r="L26" s="192">
        <v>15563121.1</v>
      </c>
      <c r="M26" s="192">
        <f>H26-L26</f>
        <v>62878300.619999997</v>
      </c>
      <c r="O26" s="254" t="s">
        <v>364</v>
      </c>
      <c r="P26" s="136"/>
      <c r="Q26" s="136"/>
      <c r="R26" s="137">
        <f>+P26-Q26</f>
        <v>0</v>
      </c>
      <c r="S26" s="136"/>
      <c r="T26" s="136"/>
      <c r="U26" s="136"/>
    </row>
    <row r="27" spans="1:21" x14ac:dyDescent="0.2">
      <c r="B27" s="171"/>
      <c r="C27" s="207"/>
      <c r="D27" s="166"/>
      <c r="E27" s="165"/>
      <c r="F27" s="82"/>
      <c r="G27" s="195"/>
      <c r="H27" s="235"/>
      <c r="I27" s="173"/>
      <c r="J27" s="172"/>
      <c r="K27" s="232"/>
      <c r="L27" s="50"/>
      <c r="M27" s="49" t="s">
        <v>174</v>
      </c>
      <c r="O27" s="254" t="s">
        <v>363</v>
      </c>
      <c r="P27" s="136"/>
      <c r="Q27" s="136"/>
      <c r="R27" s="137">
        <f>+P27-Q27</f>
        <v>0</v>
      </c>
      <c r="S27" s="136"/>
      <c r="T27" s="136"/>
      <c r="U27" s="136"/>
    </row>
    <row r="28" spans="1:21" x14ac:dyDescent="0.2">
      <c r="B28" s="171"/>
      <c r="C28" s="250" t="s">
        <v>269</v>
      </c>
      <c r="D28" s="166"/>
      <c r="E28" s="165"/>
      <c r="F28" s="200" t="s">
        <v>362</v>
      </c>
      <c r="G28" s="195"/>
      <c r="H28" s="249"/>
      <c r="I28" s="248"/>
      <c r="J28" s="172"/>
      <c r="K28" s="232"/>
      <c r="L28" s="49"/>
      <c r="M28" s="49" t="s">
        <v>174</v>
      </c>
      <c r="O28" s="254" t="s">
        <v>361</v>
      </c>
      <c r="P28" s="136"/>
      <c r="Q28" s="136"/>
      <c r="R28" s="137">
        <f>+P28-Q28</f>
        <v>0</v>
      </c>
      <c r="S28" s="136"/>
      <c r="T28" s="136"/>
      <c r="U28" s="136"/>
    </row>
    <row r="29" spans="1:21" x14ac:dyDescent="0.2">
      <c r="A29" s="1" t="s">
        <v>360</v>
      </c>
      <c r="B29" s="171"/>
      <c r="C29" s="207"/>
      <c r="D29" s="166">
        <v>1</v>
      </c>
      <c r="E29" s="165"/>
      <c r="F29" s="82"/>
      <c r="G29" s="195" t="s">
        <v>359</v>
      </c>
      <c r="H29" s="240">
        <f>SUMIF('[1]BDV 2024'!$B$1:$B$65536,$A29,'[1]BDV 2024'!$O$1:$O$65536)</f>
        <v>0</v>
      </c>
      <c r="I29" s="61">
        <v>78496478.609999999</v>
      </c>
      <c r="J29" s="61">
        <f>H29-I29</f>
        <v>-78496478.609999999</v>
      </c>
      <c r="K29" s="61">
        <f>IF(I29=0,0,J29/I29*100)</f>
        <v>-100</v>
      </c>
      <c r="L29" s="61">
        <v>0</v>
      </c>
      <c r="M29" s="61">
        <f>H29-L29</f>
        <v>0</v>
      </c>
      <c r="O29" s="254" t="s">
        <v>348</v>
      </c>
      <c r="P29" s="136"/>
      <c r="Q29" s="136"/>
      <c r="R29" s="137">
        <f>+P29-Q29</f>
        <v>0</v>
      </c>
      <c r="S29" s="136"/>
      <c r="T29" s="136"/>
      <c r="U29" s="136"/>
    </row>
    <row r="30" spans="1:21" x14ac:dyDescent="0.2">
      <c r="A30" s="1" t="s">
        <v>358</v>
      </c>
      <c r="B30" s="171"/>
      <c r="C30" s="207"/>
      <c r="D30" s="166">
        <v>2</v>
      </c>
      <c r="E30" s="165"/>
      <c r="F30" s="82"/>
      <c r="G30" s="195" t="s">
        <v>357</v>
      </c>
      <c r="H30" s="240">
        <f>SUMIF('[1]BDV 2024'!$B$1:$B$65536,$A30,'[1]BDV 2024'!$O$1:$O$65536)</f>
        <v>0</v>
      </c>
      <c r="I30" s="61">
        <v>2639</v>
      </c>
      <c r="J30" s="61">
        <f>H30-I30</f>
        <v>-2639</v>
      </c>
      <c r="K30" s="61">
        <f>IF(I30=0,0,J30/I30*100)</f>
        <v>-100</v>
      </c>
      <c r="L30" s="61">
        <v>0</v>
      </c>
      <c r="M30" s="61">
        <f>H30-L30</f>
        <v>0</v>
      </c>
      <c r="O30" s="254" t="s">
        <v>356</v>
      </c>
      <c r="P30" s="136"/>
      <c r="Q30" s="136"/>
      <c r="R30" s="137">
        <f>+P30-Q30</f>
        <v>0</v>
      </c>
      <c r="S30" s="136"/>
      <c r="T30" s="136"/>
      <c r="U30" s="136"/>
    </row>
    <row r="31" spans="1:21" ht="13.5" x14ac:dyDescent="0.25">
      <c r="B31" s="171"/>
      <c r="C31" s="207"/>
      <c r="D31" s="166"/>
      <c r="E31" s="165"/>
      <c r="F31" s="247" t="s">
        <v>314</v>
      </c>
      <c r="G31" s="195"/>
      <c r="H31" s="240">
        <f>SUM(H29:H30)</f>
        <v>0</v>
      </c>
      <c r="I31" s="61">
        <f>SUM(I29:I30)</f>
        <v>78499117.609999999</v>
      </c>
      <c r="J31" s="61">
        <f>H31-I31</f>
        <v>-78499117.609999999</v>
      </c>
      <c r="K31" s="61">
        <f>IF(I31=0,0,J31/I31*100)</f>
        <v>-100</v>
      </c>
      <c r="L31" s="61">
        <v>0</v>
      </c>
      <c r="M31" s="61">
        <f>H31-L31</f>
        <v>0</v>
      </c>
      <c r="O31" s="153" t="s">
        <v>355</v>
      </c>
      <c r="P31" s="136"/>
      <c r="Q31" s="136"/>
      <c r="R31" s="137">
        <f>+P31-Q31</f>
        <v>0</v>
      </c>
      <c r="S31" s="136"/>
      <c r="T31" s="136"/>
      <c r="U31" s="136"/>
    </row>
    <row r="32" spans="1:21" ht="13.5" x14ac:dyDescent="0.25">
      <c r="B32" s="171"/>
      <c r="C32" s="207"/>
      <c r="D32" s="166"/>
      <c r="E32" s="165" t="s">
        <v>354</v>
      </c>
      <c r="F32" s="242"/>
      <c r="G32" s="195"/>
      <c r="H32" s="237">
        <f>H13+H26+H31</f>
        <v>93354018.21872586</v>
      </c>
      <c r="I32" s="170">
        <f>I13+I26+I31</f>
        <v>208212992.96999997</v>
      </c>
      <c r="J32" s="36">
        <f>H32-I32</f>
        <v>-114858974.75127411</v>
      </c>
      <c r="K32" s="236">
        <f>IF(I32=0,0,J32/I32*100)</f>
        <v>-55.164172568146782</v>
      </c>
      <c r="L32" s="64">
        <v>15744103.07</v>
      </c>
      <c r="M32" s="192">
        <f>H32-L32</f>
        <v>77609915.148725867</v>
      </c>
      <c r="O32" s="254" t="s">
        <v>353</v>
      </c>
      <c r="P32" s="136"/>
      <c r="Q32" s="136"/>
      <c r="R32" s="137">
        <f>+P32-Q32</f>
        <v>0</v>
      </c>
      <c r="S32" s="136"/>
      <c r="T32" s="136"/>
      <c r="U32" s="136"/>
    </row>
    <row r="33" spans="1:21" x14ac:dyDescent="0.2">
      <c r="B33" s="171"/>
      <c r="C33" s="207"/>
      <c r="D33" s="166"/>
      <c r="E33" s="165"/>
      <c r="F33" s="82"/>
      <c r="G33" s="195"/>
      <c r="H33" s="235"/>
      <c r="I33" s="173"/>
      <c r="J33" s="172"/>
      <c r="K33" s="232"/>
      <c r="L33" s="50"/>
      <c r="M33" s="49" t="s">
        <v>174</v>
      </c>
      <c r="O33" s="254" t="s">
        <v>352</v>
      </c>
      <c r="P33" s="136"/>
      <c r="Q33" s="136"/>
      <c r="R33" s="137">
        <f>+P33-Q33</f>
        <v>0</v>
      </c>
      <c r="S33" s="136"/>
      <c r="T33" s="136"/>
      <c r="U33" s="136"/>
    </row>
    <row r="34" spans="1:21" x14ac:dyDescent="0.2">
      <c r="B34" s="171" t="s">
        <v>150</v>
      </c>
      <c r="C34" s="207"/>
      <c r="D34" s="166"/>
      <c r="E34" s="165" t="s">
        <v>351</v>
      </c>
      <c r="F34" s="82"/>
      <c r="G34" s="195"/>
      <c r="H34" s="237"/>
      <c r="I34" s="170"/>
      <c r="J34" s="172"/>
      <c r="K34" s="232"/>
      <c r="L34" s="64"/>
      <c r="M34" s="49" t="s">
        <v>174</v>
      </c>
      <c r="O34" s="254" t="s">
        <v>350</v>
      </c>
      <c r="P34" s="136"/>
      <c r="Q34" s="136"/>
      <c r="R34" s="137">
        <f>+P34-Q34</f>
        <v>0</v>
      </c>
      <c r="S34" s="136"/>
      <c r="T34" s="136"/>
      <c r="U34" s="136"/>
    </row>
    <row r="35" spans="1:21" x14ac:dyDescent="0.2">
      <c r="B35" s="171"/>
      <c r="C35" s="260" t="s">
        <v>275</v>
      </c>
      <c r="D35" s="166"/>
      <c r="E35" s="165"/>
      <c r="F35" s="200" t="s">
        <v>349</v>
      </c>
      <c r="G35" s="195"/>
      <c r="H35" s="249"/>
      <c r="I35" s="248"/>
      <c r="J35" s="172"/>
      <c r="K35" s="232"/>
      <c r="L35" s="49"/>
      <c r="M35" s="49" t="s">
        <v>174</v>
      </c>
      <c r="O35" s="254" t="s">
        <v>348</v>
      </c>
      <c r="P35" s="136"/>
      <c r="Q35" s="136"/>
      <c r="R35" s="137">
        <f>+P35-Q35</f>
        <v>0</v>
      </c>
      <c r="S35" s="136"/>
      <c r="T35" s="136"/>
      <c r="U35" s="136"/>
    </row>
    <row r="36" spans="1:21" x14ac:dyDescent="0.2">
      <c r="A36" s="1" t="s">
        <v>347</v>
      </c>
      <c r="B36" s="171"/>
      <c r="C36" s="207"/>
      <c r="D36" s="166">
        <v>1</v>
      </c>
      <c r="E36" s="165"/>
      <c r="F36" s="82"/>
      <c r="G36" s="259" t="s">
        <v>88</v>
      </c>
      <c r="H36" s="240">
        <f>SUMIF('[1]BDV 2024'!$B$1:$B$65536,$A36,'[1]BDV 2024'!$O$1:$O$65536)</f>
        <v>177111.41</v>
      </c>
      <c r="I36" s="227">
        <v>7370704.1399999987</v>
      </c>
      <c r="J36" s="227">
        <f>H36-I36</f>
        <v>-7193592.7299999986</v>
      </c>
      <c r="K36" s="227">
        <f>IF(I36=0,0,J36/I36*100)</f>
        <v>-97.59708968592517</v>
      </c>
      <c r="L36" s="61">
        <v>4559.58</v>
      </c>
      <c r="M36" s="40">
        <f>H36-L36</f>
        <v>172551.83000000002</v>
      </c>
      <c r="O36" s="254" t="s">
        <v>346</v>
      </c>
      <c r="P36" s="136"/>
      <c r="Q36" s="136"/>
      <c r="R36" s="137">
        <f>+P36-Q36</f>
        <v>0</v>
      </c>
      <c r="S36" s="136"/>
      <c r="T36" s="136"/>
      <c r="U36" s="136"/>
    </row>
    <row r="37" spans="1:21" x14ac:dyDescent="0.2">
      <c r="A37" s="1" t="s">
        <v>345</v>
      </c>
      <c r="B37" s="171"/>
      <c r="C37" s="207"/>
      <c r="D37" s="166">
        <v>2</v>
      </c>
      <c r="E37" s="165"/>
      <c r="F37" s="82"/>
      <c r="G37" s="195" t="s">
        <v>86</v>
      </c>
      <c r="H37" s="240">
        <f>SUMIF('[1]BDV 2024'!$B$1:$B$65536,$A37,'[1]BDV 2024'!$O$1:$O$65536)</f>
        <v>198759.72</v>
      </c>
      <c r="I37" s="227">
        <v>778839.93</v>
      </c>
      <c r="J37" s="227">
        <f>H37-I37</f>
        <v>-580080.21000000008</v>
      </c>
      <c r="K37" s="227">
        <f>IF(I37=0,0,J37/I37*100)</f>
        <v>-74.480029548562058</v>
      </c>
      <c r="L37" s="61">
        <v>227133.8</v>
      </c>
      <c r="M37" s="40">
        <f>H37-L37</f>
        <v>-28374.079999999987</v>
      </c>
      <c r="O37" s="258" t="s">
        <v>344</v>
      </c>
      <c r="P37" s="136"/>
      <c r="Q37" s="136"/>
      <c r="R37" s="137">
        <f>+P37-Q37</f>
        <v>0</v>
      </c>
      <c r="S37" s="136"/>
      <c r="T37" s="136"/>
      <c r="U37" s="136"/>
    </row>
    <row r="38" spans="1:21" x14ac:dyDescent="0.2">
      <c r="A38" s="1" t="s">
        <v>343</v>
      </c>
      <c r="B38" s="171"/>
      <c r="C38" s="207"/>
      <c r="D38" s="166">
        <v>3</v>
      </c>
      <c r="E38" s="165"/>
      <c r="F38" s="82"/>
      <c r="G38" s="195" t="s">
        <v>342</v>
      </c>
      <c r="H38" s="240">
        <f>SUMIF('[1]BDV 2024'!$B$1:$B$65536,$A38,'[1]BDV 2024'!$O$1:$O$65536)</f>
        <v>0</v>
      </c>
      <c r="I38" s="227">
        <v>0</v>
      </c>
      <c r="J38" s="227">
        <f>H38-I38</f>
        <v>0</v>
      </c>
      <c r="K38" s="227">
        <f>IF(I38=0,0,J38/I38*100)</f>
        <v>0</v>
      </c>
      <c r="L38" s="61">
        <v>0</v>
      </c>
      <c r="M38" s="40">
        <f>H38-L38</f>
        <v>0</v>
      </c>
      <c r="O38" s="241" t="s">
        <v>341</v>
      </c>
      <c r="P38" s="135"/>
      <c r="Q38" s="135"/>
      <c r="R38" s="150">
        <f>+P38-Q38</f>
        <v>0</v>
      </c>
      <c r="S38" s="135"/>
      <c r="T38" s="135"/>
      <c r="U38" s="135"/>
    </row>
    <row r="39" spans="1:21" ht="14.25" thickBot="1" x14ac:dyDescent="0.3">
      <c r="B39" s="171"/>
      <c r="C39" s="207"/>
      <c r="D39" s="166"/>
      <c r="E39" s="165"/>
      <c r="F39" s="247" t="s">
        <v>340</v>
      </c>
      <c r="G39" s="195"/>
      <c r="H39" s="237">
        <f>SUM(H36:H38)</f>
        <v>375871.13</v>
      </c>
      <c r="I39" s="245">
        <f>SUM(I36:I38)</f>
        <v>8149544.0699999984</v>
      </c>
      <c r="J39" s="244">
        <f>H39-I39</f>
        <v>-7773672.9399999985</v>
      </c>
      <c r="K39" s="243">
        <f>IF(I39=0,0,J39/I39*100)</f>
        <v>-95.387826278728255</v>
      </c>
      <c r="L39" s="64">
        <v>231693.37999999998</v>
      </c>
      <c r="M39" s="40">
        <f>H39-L39</f>
        <v>144177.75000000003</v>
      </c>
      <c r="O39" s="149" t="s">
        <v>339</v>
      </c>
      <c r="P39" s="189">
        <f>SUM(P25:P38)</f>
        <v>0</v>
      </c>
      <c r="Q39" s="189">
        <v>0</v>
      </c>
      <c r="R39" s="190">
        <f>+P39-Q39</f>
        <v>0</v>
      </c>
      <c r="S39" s="189">
        <v>0</v>
      </c>
      <c r="T39" s="189">
        <v>0</v>
      </c>
      <c r="U39" s="189">
        <v>0</v>
      </c>
    </row>
    <row r="40" spans="1:21" ht="14.25" thickTop="1" thickBot="1" x14ac:dyDescent="0.25">
      <c r="B40" s="171"/>
      <c r="C40" s="207"/>
      <c r="D40" s="166"/>
      <c r="E40" s="165"/>
      <c r="F40" s="82"/>
      <c r="G40" s="195"/>
      <c r="H40" s="235"/>
      <c r="I40" s="173"/>
      <c r="J40" s="172"/>
      <c r="K40" s="232"/>
      <c r="L40" s="50"/>
      <c r="M40" s="49" t="s">
        <v>174</v>
      </c>
      <c r="O40" s="191" t="s">
        <v>338</v>
      </c>
      <c r="P40" s="256">
        <f>P14+P23+P39</f>
        <v>93354018.21872586</v>
      </c>
      <c r="Q40" s="256">
        <v>41892604.733998075</v>
      </c>
      <c r="R40" s="257">
        <f>+P40-Q40</f>
        <v>51461413.484727785</v>
      </c>
      <c r="S40" s="256">
        <v>32501822.593270272</v>
      </c>
      <c r="T40" s="256">
        <v>41892604.733998075</v>
      </c>
      <c r="U40" s="256">
        <v>36560722.949725874</v>
      </c>
    </row>
    <row r="41" spans="1:21" ht="13.5" thickTop="1" x14ac:dyDescent="0.2">
      <c r="B41" s="171"/>
      <c r="C41" s="250" t="s">
        <v>272</v>
      </c>
      <c r="D41" s="166"/>
      <c r="E41" s="165"/>
      <c r="F41" s="200" t="s">
        <v>337</v>
      </c>
      <c r="G41" s="195"/>
      <c r="H41" s="249"/>
      <c r="I41" s="248"/>
      <c r="J41" s="172"/>
      <c r="K41" s="232"/>
      <c r="L41" s="49"/>
      <c r="M41" s="49" t="s">
        <v>174</v>
      </c>
      <c r="O41" s="255" t="s">
        <v>336</v>
      </c>
      <c r="P41" s="189"/>
      <c r="Q41" s="189"/>
      <c r="R41" s="190">
        <f>+P41-Q41</f>
        <v>0</v>
      </c>
      <c r="S41" s="189"/>
      <c r="T41" s="189"/>
      <c r="U41" s="189"/>
    </row>
    <row r="42" spans="1:21" x14ac:dyDescent="0.2">
      <c r="A42" s="1" t="s">
        <v>335</v>
      </c>
      <c r="B42" s="171"/>
      <c r="C42" s="207"/>
      <c r="D42" s="166">
        <v>1</v>
      </c>
      <c r="E42" s="165"/>
      <c r="F42" s="82"/>
      <c r="G42" s="195" t="s">
        <v>219</v>
      </c>
      <c r="H42" s="240">
        <f>SUMIF('[1]BDV 2024'!$B$1:$B$65536,$A42,'[1]BDV 2024'!$O$1:$O$65536)</f>
        <v>1960975.96</v>
      </c>
      <c r="I42" s="176">
        <v>149968209.40000001</v>
      </c>
      <c r="J42" s="28">
        <f>H42-I42</f>
        <v>-148007233.44</v>
      </c>
      <c r="K42" s="232">
        <f>IF(I42=0,0,J42/I42*100)</f>
        <v>-98.692405565255754</v>
      </c>
      <c r="L42" s="30">
        <v>5810897.5999999996</v>
      </c>
      <c r="M42" s="40">
        <f>H42-L42</f>
        <v>-3849921.6399999997</v>
      </c>
      <c r="O42" s="226" t="s">
        <v>334</v>
      </c>
      <c r="P42" s="136"/>
      <c r="Q42" s="136"/>
      <c r="R42" s="137">
        <f>+P42-Q42</f>
        <v>0</v>
      </c>
      <c r="S42" s="136"/>
      <c r="T42" s="136"/>
      <c r="U42" s="136"/>
    </row>
    <row r="43" spans="1:21" x14ac:dyDescent="0.2">
      <c r="A43" s="1" t="s">
        <v>333</v>
      </c>
      <c r="B43" s="171"/>
      <c r="C43" s="207"/>
      <c r="D43" s="166">
        <v>2</v>
      </c>
      <c r="E43" s="165"/>
      <c r="F43" s="82"/>
      <c r="G43" s="195" t="s">
        <v>216</v>
      </c>
      <c r="H43" s="240">
        <f>SUMIF('[1]BDV 2024'!$B$1:$B$65536,$A43,'[1]BDV 2024'!$O$1:$O$65536)-SUMIF('[1]BDV 2024'!$B$1:$B$65536,#REF!,'[1]BDV 2024'!$O$1:$O$65536)</f>
        <v>137152.46</v>
      </c>
      <c r="I43" s="176">
        <v>571811.72</v>
      </c>
      <c r="J43" s="28">
        <f>H43-I43</f>
        <v>-434659.26</v>
      </c>
      <c r="K43" s="232">
        <f>IF(I43=0,0,J43/I43*100)</f>
        <v>-76.014402083259156</v>
      </c>
      <c r="L43" s="30">
        <v>111822.98999999999</v>
      </c>
      <c r="M43" s="40">
        <f>H43-L43</f>
        <v>25329.47</v>
      </c>
      <c r="O43" s="153" t="s">
        <v>332</v>
      </c>
      <c r="P43" s="136">
        <f>+P44+P45</f>
        <v>375871.13</v>
      </c>
      <c r="Q43" s="136">
        <v>375871.13</v>
      </c>
      <c r="R43" s="137">
        <f>+P43-Q43</f>
        <v>0</v>
      </c>
      <c r="S43" s="136">
        <v>375871.13</v>
      </c>
      <c r="T43" s="136">
        <v>375871.13</v>
      </c>
      <c r="U43" s="136">
        <v>375871.13</v>
      </c>
    </row>
    <row r="44" spans="1:21" x14ac:dyDescent="0.2">
      <c r="A44" s="1" t="s">
        <v>331</v>
      </c>
      <c r="B44" s="171"/>
      <c r="C44" s="207"/>
      <c r="D44" s="166">
        <v>3</v>
      </c>
      <c r="E44" s="165"/>
      <c r="F44" s="82"/>
      <c r="G44" s="195" t="s">
        <v>213</v>
      </c>
      <c r="H44" s="240">
        <f>SUMIF('[1]BDV 2024'!$B$1:$B$65536,$A44,'[1]BDV 2024'!$O$1:$O$65536)</f>
        <v>3809.76</v>
      </c>
      <c r="I44" s="176">
        <v>678244.39</v>
      </c>
      <c r="J44" s="28">
        <f>H44-I44</f>
        <v>-674434.63</v>
      </c>
      <c r="K44" s="232">
        <f>IF(I44=0,0,J44/I44*100)</f>
        <v>-99.438290967655476</v>
      </c>
      <c r="L44" s="30">
        <v>3559.76</v>
      </c>
      <c r="M44" s="40">
        <f>H44-L44</f>
        <v>250</v>
      </c>
      <c r="O44" s="254" t="s">
        <v>330</v>
      </c>
      <c r="P44" s="253">
        <f>+H36</f>
        <v>177111.41</v>
      </c>
      <c r="Q44" s="253">
        <v>177111.41</v>
      </c>
      <c r="R44" s="137">
        <f>+P44-Q44</f>
        <v>0</v>
      </c>
      <c r="S44" s="253">
        <v>177111.41</v>
      </c>
      <c r="T44" s="253">
        <v>177111.41</v>
      </c>
      <c r="U44" s="253">
        <v>177111.41</v>
      </c>
    </row>
    <row r="45" spans="1:21" x14ac:dyDescent="0.2">
      <c r="A45" s="1" t="s">
        <v>329</v>
      </c>
      <c r="B45" s="171"/>
      <c r="C45" s="207"/>
      <c r="D45" s="166">
        <v>4</v>
      </c>
      <c r="E45" s="165"/>
      <c r="F45" s="82"/>
      <c r="G45" s="195" t="s">
        <v>211</v>
      </c>
      <c r="H45" s="240">
        <f>SUMIF('[1]BDV 2024'!$B$1:$B$65536,$A45,'[1]BDV 2024'!$O$1:$O$65536)</f>
        <v>788410.35</v>
      </c>
      <c r="I45" s="176">
        <v>0</v>
      </c>
      <c r="J45" s="28">
        <f>H45-I45</f>
        <v>788410.35</v>
      </c>
      <c r="K45" s="232">
        <f>IF(I45=0,0,J45/I45*100)</f>
        <v>0</v>
      </c>
      <c r="L45" s="30">
        <v>352</v>
      </c>
      <c r="M45" s="40">
        <f>H45-L45</f>
        <v>788058.35</v>
      </c>
      <c r="O45" s="254" t="s">
        <v>328</v>
      </c>
      <c r="P45" s="253">
        <f>+H37</f>
        <v>198759.72</v>
      </c>
      <c r="Q45" s="253">
        <v>198759.72</v>
      </c>
      <c r="R45" s="137">
        <f>+P45-Q45</f>
        <v>0</v>
      </c>
      <c r="S45" s="253">
        <v>198759.72</v>
      </c>
      <c r="T45" s="253">
        <v>198759.72</v>
      </c>
      <c r="U45" s="253">
        <v>198759.72</v>
      </c>
    </row>
    <row r="46" spans="1:21" x14ac:dyDescent="0.2">
      <c r="A46" s="1" t="s">
        <v>327</v>
      </c>
      <c r="B46" s="171"/>
      <c r="C46" s="207"/>
      <c r="D46" s="166">
        <v>5</v>
      </c>
      <c r="E46" s="165"/>
      <c r="F46" s="82"/>
      <c r="G46" s="195" t="s">
        <v>326</v>
      </c>
      <c r="H46" s="240">
        <f>SUMIF('[1]BDV 2024'!$B$1:$B$65536,$A46,'[1]BDV 2024'!$O$1:$O$65536)</f>
        <v>19756</v>
      </c>
      <c r="I46" s="176">
        <v>133702.20000000001</v>
      </c>
      <c r="J46" s="28">
        <f>H46-I46</f>
        <v>-113946.20000000001</v>
      </c>
      <c r="K46" s="232">
        <f>IF(I46=0,0,J46/I46*100)</f>
        <v>-85.223878141122583</v>
      </c>
      <c r="L46" s="30">
        <v>2976</v>
      </c>
      <c r="M46" s="40">
        <f>H46-L46</f>
        <v>16780</v>
      </c>
      <c r="O46" s="153" t="s">
        <v>325</v>
      </c>
      <c r="P46" s="136"/>
      <c r="Q46" s="136"/>
      <c r="R46" s="137">
        <f>+P46-Q46</f>
        <v>0</v>
      </c>
      <c r="S46" s="136"/>
      <c r="T46" s="136"/>
      <c r="U46" s="136"/>
    </row>
    <row r="47" spans="1:21" x14ac:dyDescent="0.2">
      <c r="A47" s="1" t="s">
        <v>324</v>
      </c>
      <c r="B47" s="171"/>
      <c r="C47" s="207"/>
      <c r="D47" s="166">
        <v>6</v>
      </c>
      <c r="E47" s="165"/>
      <c r="F47" s="82"/>
      <c r="G47" s="195" t="s">
        <v>323</v>
      </c>
      <c r="H47" s="240">
        <f>SUMIF('[1]BDV 2024'!$B$1:$B$65536,$A47,'[1]BDV 2024'!$O$1:$O$65536)-SUMIF('[1]BDV 2024'!$B$1:$B$65536,#REF!,'[1]BDV 2024'!$O$1:$O$65536)</f>
        <v>3011892.7099999995</v>
      </c>
      <c r="I47" s="176">
        <v>23420033.969999995</v>
      </c>
      <c r="J47" s="28">
        <f>H47-I47</f>
        <v>-20408141.259999994</v>
      </c>
      <c r="K47" s="232">
        <f>IF(I47=0,0,J47/I47*100)</f>
        <v>-87.139674033530014</v>
      </c>
      <c r="L47" s="30">
        <v>1645329.2799999998</v>
      </c>
      <c r="M47" s="49">
        <f>H47-L47</f>
        <v>1366563.4299999997</v>
      </c>
      <c r="O47" s="153" t="s">
        <v>322</v>
      </c>
      <c r="P47" s="136"/>
      <c r="Q47" s="136"/>
      <c r="R47" s="137">
        <f>+P47-Q47</f>
        <v>0</v>
      </c>
      <c r="S47" s="136"/>
      <c r="T47" s="136"/>
      <c r="U47" s="136"/>
    </row>
    <row r="48" spans="1:21" ht="13.5" x14ac:dyDescent="0.25">
      <c r="B48" s="171"/>
      <c r="C48" s="207"/>
      <c r="D48" s="166"/>
      <c r="E48" s="165"/>
      <c r="F48" s="247" t="s">
        <v>321</v>
      </c>
      <c r="G48" s="195"/>
      <c r="H48" s="237">
        <f>SUM(H42:H47)</f>
        <v>5921997.2399999993</v>
      </c>
      <c r="I48" s="64">
        <f>SUM(I42:I47)</f>
        <v>174772001.67999998</v>
      </c>
      <c r="J48" s="64">
        <f>H48-I48</f>
        <v>-168850004.43999997</v>
      </c>
      <c r="K48" s="64">
        <f>IF(I48=0,0,J48/I48*100)</f>
        <v>-96.611586991580651</v>
      </c>
      <c r="L48" s="64">
        <v>7574937.629999999</v>
      </c>
      <c r="M48" s="192">
        <f>H48-L48</f>
        <v>-1652940.3899999997</v>
      </c>
      <c r="O48" s="153" t="s">
        <v>320</v>
      </c>
      <c r="P48" s="136"/>
      <c r="Q48" s="136"/>
      <c r="R48" s="137">
        <f>+P48-Q48</f>
        <v>0</v>
      </c>
      <c r="S48" s="136"/>
      <c r="T48" s="136"/>
      <c r="U48" s="136"/>
    </row>
    <row r="49" spans="1:21" x14ac:dyDescent="0.2">
      <c r="B49" s="171"/>
      <c r="C49" s="207"/>
      <c r="D49" s="166"/>
      <c r="E49" s="165"/>
      <c r="F49" s="82"/>
      <c r="G49" s="195"/>
      <c r="H49" s="235"/>
      <c r="I49" s="173"/>
      <c r="J49" s="172"/>
      <c r="K49" s="232"/>
      <c r="L49" s="50"/>
      <c r="M49" s="49" t="s">
        <v>174</v>
      </c>
      <c r="O49" s="151" t="s">
        <v>319</v>
      </c>
      <c r="P49" s="135"/>
      <c r="Q49" s="135"/>
      <c r="R49" s="150">
        <f>+P49-Q49</f>
        <v>0</v>
      </c>
      <c r="S49" s="135"/>
      <c r="T49" s="135"/>
      <c r="U49" s="135"/>
    </row>
    <row r="50" spans="1:21" x14ac:dyDescent="0.2">
      <c r="B50" s="171"/>
      <c r="C50" s="250" t="s">
        <v>269</v>
      </c>
      <c r="D50" s="166"/>
      <c r="E50" s="165"/>
      <c r="F50" s="200" t="s">
        <v>318</v>
      </c>
      <c r="G50" s="195"/>
      <c r="H50" s="249"/>
      <c r="I50" s="248"/>
      <c r="J50" s="172"/>
      <c r="K50" s="232"/>
      <c r="L50" s="49"/>
      <c r="M50" s="49" t="s">
        <v>174</v>
      </c>
      <c r="O50" s="149" t="s">
        <v>44</v>
      </c>
      <c r="P50" s="189">
        <f>+P43+P46+P47+P48+P49</f>
        <v>375871.13</v>
      </c>
      <c r="Q50" s="189">
        <v>375871.13</v>
      </c>
      <c r="R50" s="190">
        <f>+P50-Q50</f>
        <v>0</v>
      </c>
      <c r="S50" s="189">
        <v>375871.13</v>
      </c>
      <c r="T50" s="189">
        <v>375871.13</v>
      </c>
      <c r="U50" s="189">
        <v>375871.13</v>
      </c>
    </row>
    <row r="51" spans="1:21" x14ac:dyDescent="0.2">
      <c r="A51" s="1" t="s">
        <v>317</v>
      </c>
      <c r="B51" s="171"/>
      <c r="C51" s="207"/>
      <c r="D51" s="166">
        <v>1</v>
      </c>
      <c r="E51" s="165"/>
      <c r="F51" s="82"/>
      <c r="G51" s="195" t="s">
        <v>316</v>
      </c>
      <c r="H51" s="240">
        <f>SUMIF('[1]BDV 2024'!$B$1:$B$65536,$A51,'[1]BDV 2024'!$O$1:$O$65536)</f>
        <v>0</v>
      </c>
      <c r="I51" s="227">
        <v>0</v>
      </c>
      <c r="J51" s="227">
        <f>H51-I51</f>
        <v>0</v>
      </c>
      <c r="K51" s="227">
        <f>IF(I51=0,0,J51/I51*100)</f>
        <v>0</v>
      </c>
      <c r="L51" s="61">
        <v>0</v>
      </c>
      <c r="M51" s="40">
        <f>H51-L51</f>
        <v>0</v>
      </c>
      <c r="O51" s="226" t="s">
        <v>315</v>
      </c>
      <c r="P51" s="186"/>
      <c r="Q51" s="186"/>
      <c r="R51" s="187">
        <f>+P51-Q51</f>
        <v>0</v>
      </c>
      <c r="S51" s="186"/>
      <c r="T51" s="186"/>
      <c r="U51" s="186"/>
    </row>
    <row r="52" spans="1:21" ht="13.5" x14ac:dyDescent="0.25">
      <c r="B52" s="171"/>
      <c r="C52" s="207"/>
      <c r="D52" s="166"/>
      <c r="E52" s="165"/>
      <c r="F52" s="247" t="s">
        <v>314</v>
      </c>
      <c r="G52" s="195"/>
      <c r="H52" s="252">
        <f>H51</f>
        <v>0</v>
      </c>
      <c r="I52" s="251">
        <f>I51</f>
        <v>0</v>
      </c>
      <c r="J52" s="251">
        <f>H52-I52</f>
        <v>0</v>
      </c>
      <c r="K52" s="251">
        <f>IF(I52=0,0,J52/I52*100)</f>
        <v>0</v>
      </c>
      <c r="L52" s="194">
        <v>0</v>
      </c>
      <c r="M52" s="54">
        <f>H52-L52</f>
        <v>0</v>
      </c>
      <c r="O52" s="153" t="s">
        <v>313</v>
      </c>
      <c r="P52" s="136">
        <f>+'[1]BDV 2024'!Q50</f>
        <v>3403363.1099999994</v>
      </c>
      <c r="Q52" s="136">
        <v>3403363.1099999994</v>
      </c>
      <c r="R52" s="137">
        <f>+P52-Q52</f>
        <v>0</v>
      </c>
      <c r="S52" s="136">
        <v>3403363.1099999994</v>
      </c>
      <c r="T52" s="136">
        <v>3403363.1099999994</v>
      </c>
      <c r="U52" s="136">
        <v>3403363.1099999994</v>
      </c>
    </row>
    <row r="53" spans="1:21" x14ac:dyDescent="0.2">
      <c r="B53" s="171"/>
      <c r="C53" s="207"/>
      <c r="D53" s="166"/>
      <c r="E53" s="165"/>
      <c r="F53" s="82"/>
      <c r="G53" s="195"/>
      <c r="H53" s="235"/>
      <c r="I53" s="173"/>
      <c r="J53" s="172"/>
      <c r="K53" s="232"/>
      <c r="L53" s="50"/>
      <c r="M53" s="49" t="s">
        <v>174</v>
      </c>
      <c r="O53" s="153" t="s">
        <v>312</v>
      </c>
      <c r="P53" s="136"/>
      <c r="Q53" s="136"/>
      <c r="R53" s="137">
        <f>+P53-Q53</f>
        <v>0</v>
      </c>
      <c r="S53" s="136"/>
      <c r="T53" s="136"/>
      <c r="U53" s="136"/>
    </row>
    <row r="54" spans="1:21" x14ac:dyDescent="0.2">
      <c r="B54" s="171"/>
      <c r="C54" s="250" t="s">
        <v>266</v>
      </c>
      <c r="D54" s="166"/>
      <c r="E54" s="165"/>
      <c r="F54" s="200" t="s">
        <v>311</v>
      </c>
      <c r="G54" s="195"/>
      <c r="H54" s="249"/>
      <c r="I54" s="248"/>
      <c r="J54" s="172"/>
      <c r="K54" s="232"/>
      <c r="L54" s="49"/>
      <c r="M54" s="49" t="s">
        <v>174</v>
      </c>
      <c r="O54" s="153" t="s">
        <v>310</v>
      </c>
      <c r="P54" s="136"/>
      <c r="Q54" s="136"/>
      <c r="R54" s="137">
        <f>+P54-Q54</f>
        <v>0</v>
      </c>
      <c r="S54" s="136"/>
      <c r="T54" s="136"/>
      <c r="U54" s="136"/>
    </row>
    <row r="55" spans="1:21" x14ac:dyDescent="0.2">
      <c r="A55" s="1" t="s">
        <v>309</v>
      </c>
      <c r="B55" s="171"/>
      <c r="C55" s="207"/>
      <c r="D55" s="166">
        <v>1</v>
      </c>
      <c r="E55" s="165"/>
      <c r="F55" s="82"/>
      <c r="G55" s="195" t="s">
        <v>308</v>
      </c>
      <c r="H55" s="240">
        <f>SUMIF('[1]BDV 2024'!$B$1:$B$65536,$A55,'[1]BDV 2024'!$O$1:$O$65536)</f>
        <v>316804.52</v>
      </c>
      <c r="I55" s="176">
        <v>33897.26</v>
      </c>
      <c r="J55" s="28">
        <f>H55-I55</f>
        <v>282907.26</v>
      </c>
      <c r="K55" s="232">
        <f>IF(I55=0,0,J55/I55*100)</f>
        <v>834.60214778421607</v>
      </c>
      <c r="L55" s="30">
        <v>114887.91999999998</v>
      </c>
      <c r="M55" s="40">
        <f>H55-L55</f>
        <v>201916.60000000003</v>
      </c>
      <c r="O55" s="153" t="s">
        <v>307</v>
      </c>
      <c r="P55" s="136">
        <f>+'[1]BDV 2024'!Q35</f>
        <v>1960975.96</v>
      </c>
      <c r="Q55" s="136">
        <v>1960975.96</v>
      </c>
      <c r="R55" s="137">
        <f>+P55-Q55</f>
        <v>0</v>
      </c>
      <c r="S55" s="136">
        <v>1960975.96</v>
      </c>
      <c r="T55" s="136">
        <v>1960975.96</v>
      </c>
      <c r="U55" s="136">
        <v>1960975.96</v>
      </c>
    </row>
    <row r="56" spans="1:21" x14ac:dyDescent="0.2">
      <c r="A56" s="1" t="s">
        <v>306</v>
      </c>
      <c r="B56" s="171"/>
      <c r="C56" s="207"/>
      <c r="D56" s="166">
        <v>2</v>
      </c>
      <c r="E56" s="165"/>
      <c r="F56" s="82"/>
      <c r="G56" s="195" t="s">
        <v>305</v>
      </c>
      <c r="H56" s="240">
        <f>SUMIF('[1]BDV 2024'!$B$1:$B$65536,$A56,'[1]BDV 2024'!$O$1:$O$65536)</f>
        <v>40182558.839999996</v>
      </c>
      <c r="I56" s="176">
        <v>0</v>
      </c>
      <c r="J56" s="28">
        <f>H56-I56</f>
        <v>40182558.839999996</v>
      </c>
      <c r="K56" s="232">
        <f>IF(I56=0,0,J56/I56*100)</f>
        <v>0</v>
      </c>
      <c r="L56" s="30">
        <v>39556694.219999999</v>
      </c>
      <c r="M56" s="49">
        <f>H56-L56</f>
        <v>625864.61999999732</v>
      </c>
      <c r="O56" s="153" t="s">
        <v>304</v>
      </c>
      <c r="P56" s="136"/>
      <c r="Q56" s="136"/>
      <c r="R56" s="137">
        <f>+P56-Q56</f>
        <v>0</v>
      </c>
      <c r="S56" s="136"/>
      <c r="T56" s="136"/>
      <c r="U56" s="136"/>
    </row>
    <row r="57" spans="1:21" x14ac:dyDescent="0.2">
      <c r="A57" s="1" t="s">
        <v>303</v>
      </c>
      <c r="B57" s="171"/>
      <c r="C57" s="207"/>
      <c r="D57" s="166">
        <v>3</v>
      </c>
      <c r="E57" s="165"/>
      <c r="F57" s="82"/>
      <c r="G57" s="195" t="s">
        <v>302</v>
      </c>
      <c r="H57" s="240">
        <f>SUMIF('[1]BDV 2024'!$B$1:$B$65536,$A57,'[1]BDV 2024'!$O$1:$O$65536)</f>
        <v>0</v>
      </c>
      <c r="I57" s="227">
        <v>0</v>
      </c>
      <c r="J57" s="227">
        <f>H57-I57</f>
        <v>0</v>
      </c>
      <c r="K57" s="227">
        <f>IF(I57=0,0,J57/I57*100)</f>
        <v>0</v>
      </c>
      <c r="L57" s="61">
        <v>0</v>
      </c>
      <c r="M57" s="40">
        <f>H57-L57</f>
        <v>0</v>
      </c>
      <c r="O57" s="153" t="s">
        <v>301</v>
      </c>
      <c r="P57" s="136">
        <f>+'[1]BDV 2024'!Q52</f>
        <v>19756</v>
      </c>
      <c r="Q57" s="136">
        <v>19756</v>
      </c>
      <c r="R57" s="137">
        <f>+P57-Q57</f>
        <v>0</v>
      </c>
      <c r="S57" s="136">
        <v>19756</v>
      </c>
      <c r="T57" s="136">
        <v>19756</v>
      </c>
      <c r="U57" s="136">
        <v>19756</v>
      </c>
    </row>
    <row r="58" spans="1:21" ht="13.5" x14ac:dyDescent="0.25">
      <c r="B58" s="171"/>
      <c r="C58" s="207"/>
      <c r="D58" s="166"/>
      <c r="E58" s="165"/>
      <c r="F58" s="247" t="s">
        <v>300</v>
      </c>
      <c r="G58" s="195"/>
      <c r="H58" s="246">
        <f>SUM(H55:H57)</f>
        <v>40499363.359999999</v>
      </c>
      <c r="I58" s="245">
        <f>SUM(I55:I57)</f>
        <v>33897.26</v>
      </c>
      <c r="J58" s="244">
        <f>H58-I58</f>
        <v>40465466.100000001</v>
      </c>
      <c r="K58" s="243">
        <f>IF(I58=0,0,J58/I58*100)</f>
        <v>119376.80538190992</v>
      </c>
      <c r="L58" s="192">
        <v>39671582.140000001</v>
      </c>
      <c r="M58" s="192">
        <f>H58-L58</f>
        <v>827781.21999999881</v>
      </c>
      <c r="O58" s="153" t="s">
        <v>299</v>
      </c>
      <c r="P58" s="136"/>
      <c r="Q58" s="136"/>
      <c r="R58" s="137">
        <f>+P58-Q58</f>
        <v>0</v>
      </c>
      <c r="S58" s="136"/>
      <c r="T58" s="136"/>
      <c r="U58" s="136"/>
    </row>
    <row r="59" spans="1:21" ht="13.5" x14ac:dyDescent="0.25">
      <c r="B59" s="171"/>
      <c r="C59" s="207"/>
      <c r="D59" s="166"/>
      <c r="E59" s="165" t="s">
        <v>298</v>
      </c>
      <c r="F59" s="242"/>
      <c r="G59" s="195"/>
      <c r="H59" s="237">
        <f>H39+H48+H52+H58</f>
        <v>46797231.729999997</v>
      </c>
      <c r="I59" s="170">
        <f>I39+I48+I52+I58</f>
        <v>182955443.00999996</v>
      </c>
      <c r="J59" s="36">
        <f>H59-I59</f>
        <v>-136158211.27999997</v>
      </c>
      <c r="K59" s="236">
        <f>IF(I59=0,0,J59/I59*100)</f>
        <v>-74.42151435339251</v>
      </c>
      <c r="L59" s="64">
        <v>47478213.149999999</v>
      </c>
      <c r="M59" s="192">
        <f>H59-L59</f>
        <v>-680981.42000000179</v>
      </c>
      <c r="O59" s="241" t="s">
        <v>297</v>
      </c>
      <c r="P59" s="135">
        <f>+'[1]BDV 2024'!Q59</f>
        <v>175480.75</v>
      </c>
      <c r="Q59" s="135">
        <v>175480.75</v>
      </c>
      <c r="R59" s="150">
        <f>+P59-Q59</f>
        <v>0</v>
      </c>
      <c r="S59" s="135">
        <v>175480.75</v>
      </c>
      <c r="T59" s="135">
        <v>175480.75</v>
      </c>
      <c r="U59" s="135">
        <v>175480.75</v>
      </c>
    </row>
    <row r="60" spans="1:21" x14ac:dyDescent="0.2">
      <c r="B60" s="171"/>
      <c r="C60" s="207"/>
      <c r="D60" s="166"/>
      <c r="E60" s="165"/>
      <c r="F60" s="82"/>
      <c r="G60" s="195"/>
      <c r="H60" s="235"/>
      <c r="I60" s="173"/>
      <c r="J60" s="172"/>
      <c r="K60" s="232"/>
      <c r="L60" s="50"/>
      <c r="M60" s="49" t="s">
        <v>174</v>
      </c>
      <c r="O60" s="149" t="s">
        <v>44</v>
      </c>
      <c r="P60" s="189">
        <f>SUM(P52:P59)</f>
        <v>5559575.8199999994</v>
      </c>
      <c r="Q60" s="189">
        <v>5559575.8199999994</v>
      </c>
      <c r="R60" s="190">
        <f>+P60-Q60</f>
        <v>0</v>
      </c>
      <c r="S60" s="189">
        <v>5559575.8199999994</v>
      </c>
      <c r="T60" s="189">
        <v>5559575.8199999994</v>
      </c>
      <c r="U60" s="189">
        <v>5559575.8199999994</v>
      </c>
    </row>
    <row r="61" spans="1:21" x14ac:dyDescent="0.2">
      <c r="A61" s="179" t="s">
        <v>80</v>
      </c>
      <c r="B61" s="171" t="s">
        <v>80</v>
      </c>
      <c r="C61" s="207"/>
      <c r="D61" s="166"/>
      <c r="E61" s="165" t="s">
        <v>192</v>
      </c>
      <c r="F61" s="82"/>
      <c r="G61" s="195"/>
      <c r="H61" s="240">
        <f>SUMIF('[1]BDV 2024'!$B$1:$B$65536,$A61,'[1]BDV 2024'!$O$1:$O$65536)</f>
        <v>2066.39</v>
      </c>
      <c r="I61" s="170">
        <v>8492930.4199999999</v>
      </c>
      <c r="J61" s="36">
        <f>H61-I61</f>
        <v>-8490864.0299999993</v>
      </c>
      <c r="K61" s="236">
        <f>IF(I61=0,0,J61/I61*100)</f>
        <v>-99.975669293190776</v>
      </c>
      <c r="L61" s="239">
        <v>11747.11</v>
      </c>
      <c r="M61" s="40">
        <f>H61-L61</f>
        <v>-9680.7200000000012</v>
      </c>
      <c r="O61" s="226" t="s">
        <v>296</v>
      </c>
      <c r="P61" s="186"/>
      <c r="Q61" s="186"/>
      <c r="R61" s="187">
        <f>+P61-Q61</f>
        <v>0</v>
      </c>
      <c r="S61" s="186"/>
      <c r="T61" s="186"/>
      <c r="U61" s="186"/>
    </row>
    <row r="62" spans="1:21" x14ac:dyDescent="0.2">
      <c r="B62" s="171"/>
      <c r="C62" s="207"/>
      <c r="D62" s="166"/>
      <c r="E62" s="165"/>
      <c r="F62" s="82"/>
      <c r="G62" s="195"/>
      <c r="H62" s="235"/>
      <c r="I62" s="173"/>
      <c r="J62" s="172"/>
      <c r="K62" s="232"/>
      <c r="L62" s="50"/>
      <c r="M62" s="49" t="s">
        <v>174</v>
      </c>
      <c r="O62" s="153" t="s">
        <v>295</v>
      </c>
      <c r="P62" s="136"/>
      <c r="Q62" s="136"/>
      <c r="R62" s="137">
        <f>+P62-Q62</f>
        <v>0</v>
      </c>
      <c r="S62" s="136"/>
      <c r="T62" s="136"/>
      <c r="U62" s="136"/>
    </row>
    <row r="63" spans="1:21" ht="13.5" x14ac:dyDescent="0.25">
      <c r="B63" s="238" t="s">
        <v>278</v>
      </c>
      <c r="C63" s="207"/>
      <c r="D63" s="166"/>
      <c r="E63" s="165"/>
      <c r="F63" s="82"/>
      <c r="G63" s="195"/>
      <c r="H63" s="237">
        <f>H32+H59+H61</f>
        <v>140153316.33872584</v>
      </c>
      <c r="I63" s="170">
        <f>I32+I59+I61</f>
        <v>399661366.39999992</v>
      </c>
      <c r="J63" s="36">
        <f>H63-I63</f>
        <v>-259508050.06127408</v>
      </c>
      <c r="K63" s="236">
        <f>IF(I63=0,0,J63/I63*100)</f>
        <v>-64.931982893124129</v>
      </c>
      <c r="L63" s="64">
        <v>63234063.329999998</v>
      </c>
      <c r="M63" s="192">
        <f>H63-L63</f>
        <v>76919253.008725837</v>
      </c>
      <c r="O63" s="153" t="s">
        <v>294</v>
      </c>
      <c r="P63" s="136"/>
      <c r="Q63" s="136"/>
      <c r="R63" s="137">
        <f>+P63-Q63</f>
        <v>0</v>
      </c>
      <c r="S63" s="136"/>
      <c r="T63" s="136"/>
      <c r="U63" s="136"/>
    </row>
    <row r="64" spans="1:21" x14ac:dyDescent="0.2">
      <c r="B64" s="171"/>
      <c r="C64" s="207"/>
      <c r="D64" s="166"/>
      <c r="E64" s="165"/>
      <c r="F64" s="82"/>
      <c r="G64" s="195"/>
      <c r="H64" s="235"/>
      <c r="I64" s="173"/>
      <c r="J64" s="172"/>
      <c r="K64" s="232"/>
      <c r="L64" s="50"/>
      <c r="M64" s="50" t="s">
        <v>174</v>
      </c>
      <c r="O64" s="153" t="s">
        <v>293</v>
      </c>
      <c r="P64" s="136"/>
      <c r="Q64" s="136"/>
      <c r="R64" s="137">
        <f>+P64-Q64</f>
        <v>0</v>
      </c>
      <c r="S64" s="136"/>
      <c r="T64" s="136"/>
      <c r="U64" s="136"/>
    </row>
    <row r="65" spans="1:21" x14ac:dyDescent="0.2">
      <c r="B65" s="171" t="s">
        <v>69</v>
      </c>
      <c r="C65" s="207"/>
      <c r="D65" s="166"/>
      <c r="E65" s="165" t="s">
        <v>186</v>
      </c>
      <c r="F65" s="82"/>
      <c r="G65" s="195"/>
      <c r="H65" s="64" t="s">
        <v>174</v>
      </c>
      <c r="I65" s="234">
        <f>SUM(I66:I67)</f>
        <v>300255</v>
      </c>
      <c r="J65" s="233">
        <f>SUM(J66:J67)</f>
        <v>-300255</v>
      </c>
      <c r="K65" s="232"/>
      <c r="L65" s="64" t="s">
        <v>174</v>
      </c>
      <c r="M65" s="50" t="s">
        <v>174</v>
      </c>
      <c r="O65" s="153" t="s">
        <v>292</v>
      </c>
      <c r="P65" s="136"/>
      <c r="Q65" s="136"/>
      <c r="R65" s="137">
        <f>+P65-Q65</f>
        <v>0</v>
      </c>
      <c r="S65" s="136"/>
      <c r="T65" s="136"/>
      <c r="U65" s="136"/>
    </row>
    <row r="66" spans="1:21" x14ac:dyDescent="0.2">
      <c r="A66" s="1" t="s">
        <v>291</v>
      </c>
      <c r="B66" s="171"/>
      <c r="C66" s="207"/>
      <c r="D66" s="166">
        <v>1</v>
      </c>
      <c r="E66" s="165"/>
      <c r="F66" s="82"/>
      <c r="G66" s="195" t="s">
        <v>183</v>
      </c>
      <c r="H66" s="61">
        <f>SUMIF('[1]BDV 2024'!$B$1:$B$65536,$A66,'[1]BDV 2024'!$O$1:$O$65536)</f>
        <v>0</v>
      </c>
      <c r="I66" s="227">
        <v>300255</v>
      </c>
      <c r="J66" s="227">
        <f>H66-I66</f>
        <v>-300255</v>
      </c>
      <c r="K66" s="227">
        <f>IF(I66=0,0,J66/I66*100)</f>
        <v>-100</v>
      </c>
      <c r="L66" s="61">
        <v>0</v>
      </c>
      <c r="M66" s="61">
        <f>H66-L66</f>
        <v>0</v>
      </c>
      <c r="O66" s="153" t="s">
        <v>290</v>
      </c>
      <c r="P66" s="136"/>
      <c r="Q66" s="136"/>
      <c r="R66" s="137">
        <f>+P66-Q66</f>
        <v>0</v>
      </c>
      <c r="S66" s="136"/>
      <c r="T66" s="136"/>
      <c r="U66" s="136"/>
    </row>
    <row r="67" spans="1:21" ht="13.5" thickBot="1" x14ac:dyDescent="0.25">
      <c r="A67" s="1" t="s">
        <v>289</v>
      </c>
      <c r="B67" s="231"/>
      <c r="C67" s="230"/>
      <c r="D67" s="160">
        <v>2</v>
      </c>
      <c r="E67" s="229"/>
      <c r="F67" s="159"/>
      <c r="G67" s="228" t="s">
        <v>180</v>
      </c>
      <c r="H67" s="154">
        <f>SUMIF('[1]BDV 2024'!$B$1:$B$65536,$A67,'[1]BDV 2024'!$O$1:$O$65536)</f>
        <v>0</v>
      </c>
      <c r="I67" s="227">
        <v>0</v>
      </c>
      <c r="J67" s="227">
        <f>H67-I67</f>
        <v>0</v>
      </c>
      <c r="K67" s="227">
        <f>IF(I67=0,0,J67/I67*100)</f>
        <v>0</v>
      </c>
      <c r="L67" s="154">
        <v>0</v>
      </c>
      <c r="M67" s="154">
        <f>H67-L67</f>
        <v>0</v>
      </c>
      <c r="O67" s="153" t="s">
        <v>288</v>
      </c>
      <c r="P67" s="136"/>
      <c r="Q67" s="136"/>
      <c r="R67" s="137">
        <f>+P67-Q67</f>
        <v>0</v>
      </c>
      <c r="S67" s="136"/>
      <c r="T67" s="136"/>
      <c r="U67" s="136"/>
    </row>
    <row r="68" spans="1:21" ht="18" customHeight="1" x14ac:dyDescent="0.2">
      <c r="B68" s="225"/>
      <c r="C68" s="207"/>
      <c r="D68" s="166"/>
      <c r="E68" s="165"/>
      <c r="F68" s="82"/>
      <c r="G68" s="195"/>
      <c r="H68" s="104"/>
      <c r="I68" s="224"/>
      <c r="J68" s="104"/>
      <c r="K68" s="139"/>
      <c r="L68" s="104"/>
      <c r="M68" s="104"/>
      <c r="O68" s="151" t="s">
        <v>287</v>
      </c>
      <c r="P68" s="135"/>
      <c r="Q68" s="135"/>
      <c r="R68" s="150">
        <f>+P68-Q68</f>
        <v>0</v>
      </c>
      <c r="S68" s="135"/>
      <c r="T68" s="135"/>
      <c r="U68" s="135"/>
    </row>
    <row r="69" spans="1:21" ht="18" customHeight="1" x14ac:dyDescent="0.2">
      <c r="B69" s="225"/>
      <c r="C69" s="207"/>
      <c r="D69" s="166"/>
      <c r="E69" s="165"/>
      <c r="F69" s="82"/>
      <c r="G69" s="195"/>
      <c r="H69" s="104"/>
      <c r="I69" s="224"/>
      <c r="J69" s="104"/>
      <c r="K69" s="139"/>
      <c r="L69" s="104"/>
      <c r="M69" s="104"/>
      <c r="O69" s="149" t="s">
        <v>44</v>
      </c>
      <c r="P69" s="189">
        <f>SUM(P62:P68)</f>
        <v>0</v>
      </c>
      <c r="Q69" s="189">
        <v>0</v>
      </c>
      <c r="R69" s="190">
        <f>+P69-Q69</f>
        <v>0</v>
      </c>
      <c r="S69" s="189">
        <v>0</v>
      </c>
      <c r="T69" s="189">
        <v>0</v>
      </c>
      <c r="U69" s="189">
        <v>0</v>
      </c>
    </row>
    <row r="70" spans="1:21" x14ac:dyDescent="0.2">
      <c r="B70" s="225"/>
      <c r="C70" s="207"/>
      <c r="D70" s="166"/>
      <c r="E70" s="165"/>
      <c r="F70" s="82"/>
      <c r="G70" s="195"/>
      <c r="H70" s="104"/>
      <c r="I70" s="224"/>
      <c r="J70" s="104"/>
      <c r="K70" s="139"/>
      <c r="L70" s="104"/>
      <c r="M70" s="104"/>
      <c r="O70" s="226" t="s">
        <v>286</v>
      </c>
      <c r="P70" s="186"/>
      <c r="Q70" s="186"/>
      <c r="R70" s="187">
        <f>+P70-Q70</f>
        <v>0</v>
      </c>
      <c r="S70" s="186"/>
      <c r="T70" s="186"/>
      <c r="U70" s="186"/>
    </row>
    <row r="71" spans="1:21" x14ac:dyDescent="0.2">
      <c r="B71" s="225"/>
      <c r="C71" s="207"/>
      <c r="D71" s="166"/>
      <c r="E71" s="165"/>
      <c r="F71" s="82"/>
      <c r="G71" s="195"/>
      <c r="H71" s="104"/>
      <c r="I71" s="224"/>
      <c r="J71" s="104"/>
      <c r="K71" s="139"/>
      <c r="L71" s="114"/>
      <c r="M71" s="104"/>
      <c r="O71" s="153" t="s">
        <v>285</v>
      </c>
      <c r="P71" s="136">
        <f>+H56</f>
        <v>40182558.839999996</v>
      </c>
      <c r="Q71" s="136">
        <v>35710888.659999996</v>
      </c>
      <c r="R71" s="137">
        <f>+P71-Q71</f>
        <v>4471670.18</v>
      </c>
      <c r="S71" s="136">
        <v>46150793.189999998</v>
      </c>
      <c r="T71" s="136">
        <v>35710888.659999996</v>
      </c>
      <c r="U71" s="136">
        <v>40182558.839999996</v>
      </c>
    </row>
    <row r="72" spans="1:21" x14ac:dyDescent="0.2">
      <c r="B72" s="225"/>
      <c r="C72" s="207"/>
      <c r="D72" s="166"/>
      <c r="E72" s="165"/>
      <c r="F72" s="82"/>
      <c r="G72" s="195"/>
      <c r="H72" s="104"/>
      <c r="I72" s="224"/>
      <c r="J72" s="104"/>
      <c r="K72" s="139"/>
      <c r="L72" s="104"/>
      <c r="M72" s="104"/>
      <c r="O72" s="153" t="s">
        <v>284</v>
      </c>
      <c r="P72" s="136"/>
      <c r="Q72" s="136"/>
      <c r="R72" s="137">
        <f>+P72-Q72</f>
        <v>0</v>
      </c>
      <c r="S72" s="136"/>
      <c r="T72" s="136"/>
      <c r="U72" s="136"/>
    </row>
    <row r="73" spans="1:21" ht="20.25" customHeight="1" x14ac:dyDescent="0.2">
      <c r="B73" s="225"/>
      <c r="C73" s="207"/>
      <c r="D73" s="166"/>
      <c r="E73" s="165"/>
      <c r="F73" s="82"/>
      <c r="G73" s="195"/>
      <c r="H73" s="104"/>
      <c r="I73" s="224"/>
      <c r="J73" s="104"/>
      <c r="K73" s="139"/>
      <c r="L73" s="104"/>
      <c r="M73" s="104"/>
      <c r="O73" s="151" t="s">
        <v>283</v>
      </c>
      <c r="P73" s="135">
        <f>+H55</f>
        <v>316804.52</v>
      </c>
      <c r="Q73" s="135">
        <v>316804.52</v>
      </c>
      <c r="R73" s="150">
        <f>+P73-Q73</f>
        <v>0</v>
      </c>
      <c r="S73" s="135">
        <v>316804.52</v>
      </c>
      <c r="T73" s="135">
        <v>316804.52</v>
      </c>
      <c r="U73" s="135">
        <v>316804.52</v>
      </c>
    </row>
    <row r="74" spans="1:21" x14ac:dyDescent="0.2">
      <c r="B74" s="225"/>
      <c r="C74" s="207"/>
      <c r="D74" s="166"/>
      <c r="E74" s="165"/>
      <c r="F74" s="82"/>
      <c r="G74" s="195"/>
      <c r="H74" s="104"/>
      <c r="I74" s="224"/>
      <c r="J74" s="104"/>
      <c r="K74" s="139"/>
      <c r="L74" s="104"/>
      <c r="M74" s="104"/>
      <c r="O74" s="149" t="s">
        <v>44</v>
      </c>
      <c r="P74" s="189">
        <f>SUM(P71:P73)</f>
        <v>40499363.359999999</v>
      </c>
      <c r="Q74" s="189">
        <v>36027693.18</v>
      </c>
      <c r="R74" s="190">
        <f>+P74-Q74</f>
        <v>4471670.18</v>
      </c>
      <c r="S74" s="189">
        <v>46467597.710000001</v>
      </c>
      <c r="T74" s="189">
        <v>36027693.18</v>
      </c>
      <c r="U74" s="189">
        <v>40499363.359999999</v>
      </c>
    </row>
    <row r="75" spans="1:21" ht="18" customHeight="1" thickBot="1" x14ac:dyDescent="0.25">
      <c r="B75" s="134" t="s">
        <v>282</v>
      </c>
      <c r="C75" s="134"/>
      <c r="D75" s="134"/>
      <c r="E75" s="134"/>
      <c r="F75" s="134"/>
      <c r="G75" s="134"/>
      <c r="H75" s="104"/>
      <c r="I75" s="133"/>
      <c r="J75" s="133"/>
      <c r="K75" s="133"/>
      <c r="L75" s="104"/>
      <c r="M75" s="104"/>
      <c r="O75" s="191" t="s">
        <v>281</v>
      </c>
      <c r="P75" s="189">
        <f>P50+P60+P69+P74</f>
        <v>46434810.310000002</v>
      </c>
      <c r="Q75" s="189">
        <v>41963140.129999995</v>
      </c>
      <c r="R75" s="190">
        <f>+P75-Q75</f>
        <v>4471670.1800000072</v>
      </c>
      <c r="S75" s="189">
        <v>52403044.659999996</v>
      </c>
      <c r="T75" s="189">
        <v>41963140.129999995</v>
      </c>
      <c r="U75" s="189">
        <v>46434810.310000002</v>
      </c>
    </row>
    <row r="76" spans="1:21" ht="16.5" thickBot="1" x14ac:dyDescent="0.3">
      <c r="B76" s="223"/>
      <c r="C76" s="222"/>
      <c r="D76" s="221"/>
      <c r="E76" s="220"/>
      <c r="F76" s="219"/>
      <c r="G76" s="218"/>
      <c r="H76" s="98"/>
      <c r="I76" s="123">
        <v>39447</v>
      </c>
      <c r="J76" s="122" t="s">
        <v>171</v>
      </c>
      <c r="K76" s="121" t="s">
        <v>170</v>
      </c>
      <c r="L76" s="98">
        <v>43465</v>
      </c>
      <c r="M76" s="99" t="s">
        <v>152</v>
      </c>
      <c r="O76" s="138" t="s">
        <v>280</v>
      </c>
      <c r="P76" s="216">
        <f>+H61</f>
        <v>2066.39</v>
      </c>
      <c r="Q76" s="216">
        <v>2066.39</v>
      </c>
      <c r="R76" s="217">
        <f>+P76-Q76</f>
        <v>0</v>
      </c>
      <c r="S76" s="216">
        <v>2066.39</v>
      </c>
      <c r="T76" s="216">
        <v>2066.39</v>
      </c>
      <c r="U76" s="216">
        <v>2066.39</v>
      </c>
    </row>
    <row r="77" spans="1:21" ht="16.5" thickBot="1" x14ac:dyDescent="0.3">
      <c r="B77" s="215" t="s">
        <v>279</v>
      </c>
      <c r="C77" s="207"/>
      <c r="D77" s="166"/>
      <c r="E77" s="165"/>
      <c r="F77" s="82"/>
      <c r="G77" s="164"/>
      <c r="H77" s="213"/>
      <c r="I77" s="209"/>
      <c r="J77" s="172"/>
      <c r="K77" s="214"/>
      <c r="L77" s="175"/>
      <c r="M77" s="213"/>
      <c r="O77" s="212" t="s">
        <v>278</v>
      </c>
      <c r="P77" s="210">
        <f>+P40+P75+P76</f>
        <v>139790894.91872585</v>
      </c>
      <c r="Q77" s="210">
        <v>83857811.253998071</v>
      </c>
      <c r="R77" s="211">
        <f>+P77-Q77</f>
        <v>55933083.664727777</v>
      </c>
      <c r="S77" s="210">
        <v>84906933.643270269</v>
      </c>
      <c r="T77" s="210">
        <v>83857811.253998071</v>
      </c>
      <c r="U77" s="210">
        <v>82997599.649725869</v>
      </c>
    </row>
    <row r="78" spans="1:21" x14ac:dyDescent="0.2">
      <c r="B78" s="171"/>
      <c r="C78" s="207"/>
      <c r="D78" s="166"/>
      <c r="E78" s="165"/>
      <c r="F78" s="82"/>
      <c r="G78" s="164"/>
      <c r="H78" s="50"/>
      <c r="I78" s="209"/>
      <c r="J78" s="172"/>
      <c r="K78" s="117"/>
      <c r="L78" s="175"/>
      <c r="M78" s="50"/>
      <c r="O78" s="208"/>
      <c r="P78" s="202"/>
      <c r="Q78" s="104"/>
      <c r="R78" s="104"/>
    </row>
    <row r="79" spans="1:21" x14ac:dyDescent="0.2">
      <c r="B79" s="171" t="s">
        <v>168</v>
      </c>
      <c r="C79" s="207"/>
      <c r="D79" s="166"/>
      <c r="E79" s="165" t="s">
        <v>277</v>
      </c>
      <c r="F79" s="82"/>
      <c r="G79" s="164"/>
      <c r="H79" s="64"/>
      <c r="I79" s="170"/>
      <c r="J79" s="172"/>
      <c r="K79" s="117"/>
      <c r="L79" s="169"/>
      <c r="M79" s="64"/>
      <c r="O79" s="203"/>
      <c r="P79" s="202"/>
      <c r="Q79" s="104"/>
      <c r="R79" s="104"/>
    </row>
    <row r="80" spans="1:21" x14ac:dyDescent="0.2">
      <c r="A80" s="1" t="s">
        <v>276</v>
      </c>
      <c r="B80" s="171"/>
      <c r="C80" s="201" t="s">
        <v>275</v>
      </c>
      <c r="D80" s="166"/>
      <c r="E80" s="165"/>
      <c r="F80" s="200" t="s">
        <v>274</v>
      </c>
      <c r="G80" s="164"/>
      <c r="H80" s="184">
        <f>SUMIF('[1]BDV 2024'!$B$1:$B$65536,$A80,'[1]BDV 2024'!$O$1:$O$65536)</f>
        <v>0</v>
      </c>
      <c r="I80" s="176">
        <v>114427609.60000001</v>
      </c>
      <c r="J80" s="28">
        <f>H80-I80</f>
        <v>-114427609.60000001</v>
      </c>
      <c r="K80" s="28">
        <f>IF(I80=0,0,J80/I80*100)</f>
        <v>-100</v>
      </c>
      <c r="L80" s="183">
        <v>2260160.23</v>
      </c>
      <c r="M80" s="39">
        <f>H80-L80</f>
        <v>-2260160.23</v>
      </c>
      <c r="O80" s="203"/>
      <c r="P80" s="202"/>
      <c r="Q80" s="104"/>
      <c r="R80" s="104"/>
    </row>
    <row r="81" spans="1:21" x14ac:dyDescent="0.2">
      <c r="A81" s="1" t="s">
        <v>273</v>
      </c>
      <c r="B81" s="171"/>
      <c r="C81" s="201" t="s">
        <v>272</v>
      </c>
      <c r="D81" s="166"/>
      <c r="E81" s="165"/>
      <c r="F81" s="200" t="s">
        <v>271</v>
      </c>
      <c r="G81" s="164"/>
      <c r="H81" s="184">
        <f>SUMIF('[1]BDV 2024'!$B$1:$B$65536,$A81,'[1]BDV 2024'!$O$1:$O$65536)</f>
        <v>0</v>
      </c>
      <c r="I81" s="176">
        <v>13749.08</v>
      </c>
      <c r="J81" s="28">
        <f>H81-I81</f>
        <v>-13749.08</v>
      </c>
      <c r="K81" s="28">
        <f>IF(I81=0,0,J81/I81*100)</f>
        <v>-100</v>
      </c>
      <c r="L81" s="183">
        <v>24354.300000000003</v>
      </c>
      <c r="M81" s="39">
        <f>H81-L81</f>
        <v>-24354.300000000003</v>
      </c>
      <c r="O81" s="203"/>
      <c r="P81" s="202"/>
      <c r="Q81" s="104"/>
      <c r="R81" s="104"/>
    </row>
    <row r="82" spans="1:21" x14ac:dyDescent="0.2">
      <c r="A82" s="1" t="s">
        <v>270</v>
      </c>
      <c r="B82" s="171"/>
      <c r="C82" s="201" t="s">
        <v>269</v>
      </c>
      <c r="D82" s="166"/>
      <c r="E82" s="165"/>
      <c r="F82" s="200" t="s">
        <v>268</v>
      </c>
      <c r="G82" s="164"/>
      <c r="H82" s="184">
        <f>SUMIF('[1]BDV 2024'!$B$1:$B$65536,$A82,'[1]BDV 2024'!$O$1:$O$65536)</f>
        <v>17847166.780000001</v>
      </c>
      <c r="I82" s="176">
        <v>14408373.300000001</v>
      </c>
      <c r="J82" s="28">
        <f>H82-I82</f>
        <v>3438793.4800000004</v>
      </c>
      <c r="K82" s="28">
        <f>IF(I82=0,0,J82/I82*100)</f>
        <v>23.86663232830038</v>
      </c>
      <c r="L82" s="183">
        <v>17847166.780000001</v>
      </c>
      <c r="M82" s="40">
        <f>H82-L82</f>
        <v>0</v>
      </c>
      <c r="O82" s="203"/>
      <c r="P82" s="202"/>
      <c r="Q82" s="104"/>
      <c r="R82" s="104"/>
    </row>
    <row r="83" spans="1:21" ht="11.25" customHeight="1" x14ac:dyDescent="0.2">
      <c r="A83" s="1" t="s">
        <v>267</v>
      </c>
      <c r="B83" s="168"/>
      <c r="C83" s="201" t="s">
        <v>266</v>
      </c>
      <c r="D83" s="166"/>
      <c r="E83" s="165"/>
      <c r="F83" s="200" t="s">
        <v>265</v>
      </c>
      <c r="G83" s="164"/>
      <c r="H83" s="42">
        <f>SUMIF('[1]BDV 2024'!$B$1:$B$65536,$A83,'[1]BDV 2024'!$O$1:$O$65536)</f>
        <v>0</v>
      </c>
      <c r="I83" s="176">
        <v>7870128.1400000006</v>
      </c>
      <c r="J83" s="28">
        <f>H83-I83</f>
        <v>-7870128.1400000006</v>
      </c>
      <c r="K83" s="28">
        <f>IF(I83=0,0,J83/I83*100)</f>
        <v>-100</v>
      </c>
      <c r="L83" s="41">
        <v>0</v>
      </c>
      <c r="M83" s="61">
        <f>H83-L83</f>
        <v>0</v>
      </c>
      <c r="O83" s="203"/>
      <c r="P83" s="202"/>
      <c r="Q83" s="104"/>
      <c r="R83" s="104"/>
    </row>
    <row r="84" spans="1:21" ht="13.5" hidden="1" x14ac:dyDescent="0.25">
      <c r="A84" s="1" t="s">
        <v>264</v>
      </c>
      <c r="B84" s="168"/>
      <c r="C84" s="205"/>
      <c r="D84" s="166"/>
      <c r="E84" s="70" t="s">
        <v>263</v>
      </c>
      <c r="F84" s="206"/>
      <c r="G84" s="164"/>
      <c r="H84" s="181">
        <f>SUMIF('[1]BDV 2024'!$B$1:$B$65536,#REF!,'[1]BDV 2024'!$G$1:$G$65536)</f>
        <v>0</v>
      </c>
      <c r="I84" s="176">
        <v>0</v>
      </c>
      <c r="J84" s="28">
        <f>H84-I84</f>
        <v>0</v>
      </c>
      <c r="K84" s="28">
        <f>IF(I84=0,0,J84/I84*100)</f>
        <v>0</v>
      </c>
      <c r="L84" s="175">
        <v>0</v>
      </c>
      <c r="M84" s="204">
        <f>H84-L84</f>
        <v>0</v>
      </c>
      <c r="O84" s="203"/>
      <c r="P84" s="202"/>
      <c r="Q84" s="104"/>
      <c r="R84" s="104"/>
    </row>
    <row r="85" spans="1:21" hidden="1" x14ac:dyDescent="0.2">
      <c r="A85" s="1" t="s">
        <v>262</v>
      </c>
      <c r="B85" s="168"/>
      <c r="C85" s="205"/>
      <c r="D85" s="166"/>
      <c r="E85" s="70" t="s">
        <v>261</v>
      </c>
      <c r="F85" s="82"/>
      <c r="G85" s="164"/>
      <c r="H85" s="181">
        <f>SUMIF('[1]BDV 2024'!$B$1:$B$65536,#REF!,'[1]BDV 2024'!$G$1:$G$65536)</f>
        <v>0</v>
      </c>
      <c r="I85" s="176">
        <v>0</v>
      </c>
      <c r="J85" s="28">
        <f>H85-I85</f>
        <v>0</v>
      </c>
      <c r="K85" s="28">
        <f>IF(I85=0,0,J85/I85*100)</f>
        <v>0</v>
      </c>
      <c r="L85" s="175">
        <v>0</v>
      </c>
      <c r="M85" s="204">
        <f>H85-L85</f>
        <v>0</v>
      </c>
      <c r="O85" s="203"/>
      <c r="P85" s="202"/>
      <c r="Q85" s="104"/>
      <c r="R85" s="104"/>
    </row>
    <row r="86" spans="1:21" hidden="1" x14ac:dyDescent="0.2">
      <c r="A86" s="1" t="s">
        <v>260</v>
      </c>
      <c r="B86" s="168"/>
      <c r="C86" s="205"/>
      <c r="D86" s="166"/>
      <c r="E86" s="70" t="s">
        <v>259</v>
      </c>
      <c r="F86" s="82"/>
      <c r="G86" s="164"/>
      <c r="H86" s="181">
        <f>SUMIF('[1]BDV 2024'!$B$1:$B$65536,#REF!,'[1]BDV 2024'!$G$1:$G$65536)</f>
        <v>0</v>
      </c>
      <c r="I86" s="176">
        <v>0</v>
      </c>
      <c r="J86" s="28">
        <f>H86-I86</f>
        <v>0</v>
      </c>
      <c r="K86" s="28">
        <f>IF(I86=0,0,J86/I86*100)</f>
        <v>0</v>
      </c>
      <c r="L86" s="175">
        <v>0</v>
      </c>
      <c r="M86" s="204">
        <f>H86-L86</f>
        <v>0</v>
      </c>
      <c r="O86" s="203"/>
      <c r="P86" s="202"/>
      <c r="Q86" s="104"/>
      <c r="R86" s="104"/>
    </row>
    <row r="87" spans="1:21" ht="12.75" hidden="1" customHeight="1" x14ac:dyDescent="0.2">
      <c r="A87" s="1" t="s">
        <v>258</v>
      </c>
      <c r="B87" s="168"/>
      <c r="C87" s="205"/>
      <c r="D87" s="166"/>
      <c r="E87" s="70" t="s">
        <v>257</v>
      </c>
      <c r="F87" s="82"/>
      <c r="G87" s="164"/>
      <c r="H87" s="181">
        <f>SUMIF('[1]BDV 2024'!$B$1:$B$65536,#REF!,'[1]BDV 2024'!$G$1:$G$65536)</f>
        <v>0</v>
      </c>
      <c r="I87" s="176">
        <v>0</v>
      </c>
      <c r="J87" s="28">
        <f>H87-I87</f>
        <v>0</v>
      </c>
      <c r="K87" s="28">
        <f>IF(I87=0,0,J87/I87*100)</f>
        <v>0</v>
      </c>
      <c r="L87" s="175">
        <v>0</v>
      </c>
      <c r="M87" s="204">
        <f>H87-L87</f>
        <v>0</v>
      </c>
      <c r="O87" s="203"/>
      <c r="P87" s="202"/>
      <c r="Q87" s="104"/>
      <c r="R87" s="104"/>
    </row>
    <row r="88" spans="1:21" ht="13.5" thickBot="1" x14ac:dyDescent="0.25">
      <c r="A88" s="1" t="s">
        <v>256</v>
      </c>
      <c r="B88" s="168"/>
      <c r="C88" s="201" t="s">
        <v>255</v>
      </c>
      <c r="D88" s="166"/>
      <c r="E88" s="165"/>
      <c r="F88" s="200" t="s">
        <v>254</v>
      </c>
      <c r="G88" s="164"/>
      <c r="H88" s="184">
        <f>SUMIF('[1]BDV 2024'!$B$1:$B$65536,$A88,'[1]BDV 2024'!$O$1:$O$65536)</f>
        <v>46225617.641061053</v>
      </c>
      <c r="I88" s="176">
        <v>39050.25</v>
      </c>
      <c r="J88" s="28">
        <f>H88-I88</f>
        <v>46186567.391061053</v>
      </c>
      <c r="K88" s="28">
        <f>IF(I88=0,0,J88/I88*100)</f>
        <v>118274.7034681239</v>
      </c>
      <c r="L88" s="183">
        <v>21263108.75</v>
      </c>
      <c r="M88" s="39">
        <f>H88-L88</f>
        <v>24962508.891061053</v>
      </c>
      <c r="O88" s="203"/>
      <c r="P88" s="202"/>
      <c r="Q88" s="104"/>
      <c r="R88" s="104"/>
    </row>
    <row r="89" spans="1:21" ht="14.25" thickBot="1" x14ac:dyDescent="0.3">
      <c r="A89" s="1" t="s">
        <v>253</v>
      </c>
      <c r="B89" s="168"/>
      <c r="C89" s="201" t="s">
        <v>252</v>
      </c>
      <c r="D89" s="166"/>
      <c r="E89" s="165"/>
      <c r="F89" s="200" t="s">
        <v>251</v>
      </c>
      <c r="G89" s="164"/>
      <c r="H89" s="184" t="e">
        <f>#REF!</f>
        <v>#REF!</v>
      </c>
      <c r="I89" s="176">
        <v>-39109266.209999979</v>
      </c>
      <c r="J89" s="28" t="e">
        <f>H89-I89</f>
        <v>#REF!</v>
      </c>
      <c r="K89" s="28" t="e">
        <f>IF(I89=0,0,J89/I89*100)</f>
        <v>#REF!</v>
      </c>
      <c r="L89" s="183">
        <v>8507001.6400000006</v>
      </c>
      <c r="M89" s="39" t="e">
        <f>H89-L89</f>
        <v>#REF!</v>
      </c>
      <c r="N89" s="46"/>
      <c r="O89" s="199" t="s">
        <v>250</v>
      </c>
      <c r="P89" s="98">
        <v>45657</v>
      </c>
      <c r="Q89" s="97">
        <v>45291</v>
      </c>
      <c r="R89" s="99" t="s">
        <v>152</v>
      </c>
      <c r="S89" s="97">
        <v>44926</v>
      </c>
      <c r="T89" s="97">
        <v>45291</v>
      </c>
      <c r="U89" s="98">
        <v>45657</v>
      </c>
    </row>
    <row r="90" spans="1:21" ht="13.5" x14ac:dyDescent="0.25">
      <c r="B90" s="168"/>
      <c r="C90" s="167"/>
      <c r="D90" s="166"/>
      <c r="E90" s="38" t="s">
        <v>153</v>
      </c>
      <c r="F90" s="82"/>
      <c r="G90" s="164"/>
      <c r="H90" s="182" t="e">
        <f>ROUND(H80+H81+H82+H83+H88+H89,2)</f>
        <v>#REF!</v>
      </c>
      <c r="I90" s="170">
        <f>I80+I81+I82+I83+I88+I89</f>
        <v>97649644.160000026</v>
      </c>
      <c r="J90" s="36" t="e">
        <f>H90-I90</f>
        <v>#REF!</v>
      </c>
      <c r="K90" s="36" t="e">
        <f>IF(I90=0,0,J90/I90*100)</f>
        <v>#REF!</v>
      </c>
      <c r="L90" s="169">
        <v>49901791.700000003</v>
      </c>
      <c r="M90" s="62" t="e">
        <f>H90-L90+1</f>
        <v>#REF!</v>
      </c>
      <c r="N90" s="46"/>
      <c r="O90" s="193" t="s">
        <v>249</v>
      </c>
      <c r="P90" s="196"/>
      <c r="Q90" s="197"/>
      <c r="R90" s="198"/>
      <c r="S90" s="197"/>
      <c r="T90" s="197"/>
      <c r="U90" s="196"/>
    </row>
    <row r="91" spans="1:21" x14ac:dyDescent="0.2">
      <c r="B91" s="168"/>
      <c r="C91" s="167"/>
      <c r="D91" s="166"/>
      <c r="E91" s="165"/>
      <c r="F91" s="82"/>
      <c r="G91" s="164"/>
      <c r="H91" s="181"/>
      <c r="I91" s="173"/>
      <c r="J91" s="172"/>
      <c r="K91" s="28"/>
      <c r="L91" s="175"/>
      <c r="M91" s="49"/>
      <c r="O91" s="153" t="s">
        <v>248</v>
      </c>
      <c r="P91" s="136">
        <f>+H82</f>
        <v>17847166.780000001</v>
      </c>
      <c r="Q91" s="136">
        <v>17847166.780000001</v>
      </c>
      <c r="R91" s="137">
        <f>+P91-Q91</f>
        <v>0</v>
      </c>
      <c r="S91" s="136">
        <v>17847166.780000001</v>
      </c>
      <c r="T91" s="136">
        <v>17847166.780000001</v>
      </c>
      <c r="U91" s="136">
        <v>17847166.780000001</v>
      </c>
    </row>
    <row r="92" spans="1:21" ht="13.5" x14ac:dyDescent="0.25">
      <c r="B92" s="171" t="s">
        <v>150</v>
      </c>
      <c r="C92" s="167"/>
      <c r="D92" s="166"/>
      <c r="E92" s="165" t="s">
        <v>247</v>
      </c>
      <c r="F92" s="165"/>
      <c r="G92" s="164"/>
      <c r="H92" s="182"/>
      <c r="I92" s="170"/>
      <c r="J92" s="172"/>
      <c r="K92" s="28"/>
      <c r="L92" s="169"/>
      <c r="M92" s="192"/>
      <c r="O92" s="153" t="s">
        <v>246</v>
      </c>
      <c r="P92" s="136"/>
      <c r="Q92" s="136"/>
      <c r="R92" s="137">
        <f>+P92-Q92</f>
        <v>0</v>
      </c>
      <c r="S92" s="136"/>
      <c r="T92" s="136"/>
      <c r="U92" s="136"/>
    </row>
    <row r="93" spans="1:21" x14ac:dyDescent="0.2">
      <c r="A93" s="1" t="s">
        <v>245</v>
      </c>
      <c r="B93" s="168"/>
      <c r="C93" s="167"/>
      <c r="D93" s="166">
        <v>1</v>
      </c>
      <c r="E93" s="165"/>
      <c r="F93" s="195"/>
      <c r="G93" s="164" t="s">
        <v>244</v>
      </c>
      <c r="H93" s="42">
        <f>SUMIF('[1]BDV 2024'!$B$1:$B$65536,$A93,'[1]BDV 2024'!$O$1:$O$65536)</f>
        <v>0</v>
      </c>
      <c r="I93" s="176">
        <v>0</v>
      </c>
      <c r="J93" s="28">
        <f>H93-I93</f>
        <v>0</v>
      </c>
      <c r="K93" s="28">
        <f>IF(I93=0,0,J93/I93*100)</f>
        <v>0</v>
      </c>
      <c r="L93" s="41">
        <v>0</v>
      </c>
      <c r="M93" s="61">
        <f>H93-L93</f>
        <v>0</v>
      </c>
      <c r="O93" s="153" t="s">
        <v>243</v>
      </c>
      <c r="P93" s="136"/>
      <c r="Q93" s="136"/>
      <c r="R93" s="137">
        <f>+P93-Q93</f>
        <v>0</v>
      </c>
      <c r="S93" s="136"/>
      <c r="T93" s="136"/>
      <c r="U93" s="136"/>
    </row>
    <row r="94" spans="1:21" x14ac:dyDescent="0.2">
      <c r="A94" s="1" t="s">
        <v>242</v>
      </c>
      <c r="B94" s="168"/>
      <c r="C94" s="167"/>
      <c r="D94" s="166">
        <v>2</v>
      </c>
      <c r="E94" s="165"/>
      <c r="F94" s="195"/>
      <c r="G94" s="164" t="s">
        <v>241</v>
      </c>
      <c r="H94" s="184">
        <f>ROUND(SUMIF('[1]BDV 2024'!$B$1:$B$65536,$A94,'[1]BDV 2024'!$O$1:$O$65536),2)</f>
        <v>436814.38</v>
      </c>
      <c r="I94" s="176">
        <v>11708647.609999999</v>
      </c>
      <c r="J94" s="28">
        <f>H94-I94</f>
        <v>-11271833.229999999</v>
      </c>
      <c r="K94" s="28">
        <f>IF(I94=0,0,J94/I94*100)</f>
        <v>-96.269301164833664</v>
      </c>
      <c r="L94" s="183">
        <v>446593.39</v>
      </c>
      <c r="M94" s="39">
        <f>H94-L94</f>
        <v>-9779.0100000000093</v>
      </c>
      <c r="O94" s="153" t="s">
        <v>240</v>
      </c>
      <c r="P94" s="136"/>
      <c r="Q94" s="136"/>
      <c r="R94" s="137">
        <f>+P94-Q94</f>
        <v>0</v>
      </c>
      <c r="S94" s="136"/>
      <c r="T94" s="136"/>
      <c r="U94" s="136"/>
    </row>
    <row r="95" spans="1:21" x14ac:dyDescent="0.2">
      <c r="A95" s="1" t="s">
        <v>239</v>
      </c>
      <c r="B95" s="168"/>
      <c r="C95" s="167"/>
      <c r="D95" s="166">
        <v>3</v>
      </c>
      <c r="E95" s="165"/>
      <c r="F95" s="195"/>
      <c r="G95" s="164" t="s">
        <v>238</v>
      </c>
      <c r="H95" s="184">
        <f>ROUND(SUMIF('[1]BDV 2024'!$B$1:$B$65536,$A95,'[1]BDV 2024'!$O$1:$O$65536),2)</f>
        <v>6026690.9100000001</v>
      </c>
      <c r="I95" s="176">
        <v>8797506.7199999988</v>
      </c>
      <c r="J95" s="28">
        <f>H95-I95</f>
        <v>-2770815.8099999987</v>
      </c>
      <c r="K95" s="28">
        <f>IF(I95=0,0,J95/I95*100)</f>
        <v>-31.495466820171963</v>
      </c>
      <c r="L95" s="183">
        <v>6780318.1100000003</v>
      </c>
      <c r="M95" s="39">
        <f>H95-L95</f>
        <v>-753627.20000000019</v>
      </c>
      <c r="O95" s="153" t="s">
        <v>237</v>
      </c>
      <c r="P95" s="136"/>
      <c r="Q95" s="136"/>
      <c r="R95" s="137">
        <f>+P95-Q95</f>
        <v>0</v>
      </c>
      <c r="S95" s="136"/>
      <c r="T95" s="136"/>
      <c r="U95" s="136"/>
    </row>
    <row r="96" spans="1:21" ht="13.5" x14ac:dyDescent="0.25">
      <c r="B96" s="168"/>
      <c r="C96" s="167"/>
      <c r="D96" s="166"/>
      <c r="E96" s="38" t="s">
        <v>84</v>
      </c>
      <c r="F96" s="82"/>
      <c r="G96" s="164"/>
      <c r="H96" s="182">
        <f>ROUND(SUM(H93:H95),2)</f>
        <v>6463505.29</v>
      </c>
      <c r="I96" s="170">
        <f>SUM(I93:I95)</f>
        <v>20506154.329999998</v>
      </c>
      <c r="J96" s="36">
        <f>H96-I96</f>
        <v>-14042649.039999999</v>
      </c>
      <c r="K96" s="36">
        <f>IF(I96=0,0,J96/I96*100)</f>
        <v>-68.480168509489616</v>
      </c>
      <c r="L96" s="169">
        <v>7226911.5</v>
      </c>
      <c r="M96" s="62">
        <f>H96-L96</f>
        <v>-763406.21</v>
      </c>
      <c r="O96" s="153" t="s">
        <v>236</v>
      </c>
      <c r="P96" s="136"/>
      <c r="Q96" s="136"/>
      <c r="R96" s="137">
        <f>+P96-Q96</f>
        <v>0</v>
      </c>
      <c r="S96" s="136"/>
      <c r="T96" s="136"/>
      <c r="U96" s="136"/>
    </row>
    <row r="97" spans="1:21" x14ac:dyDescent="0.2">
      <c r="B97" s="168"/>
      <c r="C97" s="167"/>
      <c r="D97" s="166"/>
      <c r="E97" s="165"/>
      <c r="F97" s="82"/>
      <c r="G97" s="164"/>
      <c r="H97" s="181"/>
      <c r="I97" s="173"/>
      <c r="J97" s="172"/>
      <c r="K97" s="28"/>
      <c r="L97" s="175"/>
      <c r="M97" s="49"/>
      <c r="O97" s="153" t="s">
        <v>235</v>
      </c>
      <c r="P97" s="136"/>
      <c r="Q97" s="136"/>
      <c r="R97" s="137">
        <f>+P97-Q97</f>
        <v>0</v>
      </c>
      <c r="S97" s="136"/>
      <c r="T97" s="136"/>
      <c r="U97" s="136"/>
    </row>
    <row r="98" spans="1:21" ht="13.5" x14ac:dyDescent="0.25">
      <c r="A98" s="179" t="s">
        <v>80</v>
      </c>
      <c r="B98" s="171" t="s">
        <v>80</v>
      </c>
      <c r="C98" s="167"/>
      <c r="D98" s="166"/>
      <c r="E98" s="165" t="s">
        <v>234</v>
      </c>
      <c r="F98" s="165"/>
      <c r="G98" s="164"/>
      <c r="H98" s="182"/>
      <c r="I98" s="170"/>
      <c r="J98" s="172"/>
      <c r="K98" s="28"/>
      <c r="L98" s="169"/>
      <c r="M98" s="192"/>
      <c r="O98" s="153" t="s">
        <v>233</v>
      </c>
      <c r="P98" s="136">
        <f>+H88</f>
        <v>46225617.641061053</v>
      </c>
      <c r="Q98" s="136">
        <v>46194495.87767338</v>
      </c>
      <c r="R98" s="137">
        <f>+P98-Q98</f>
        <v>31121.763387672603</v>
      </c>
      <c r="S98" s="136">
        <v>46190093.329999998</v>
      </c>
      <c r="T98" s="136">
        <v>46194495.87767338</v>
      </c>
      <c r="U98" s="136">
        <v>46225617.641061053</v>
      </c>
    </row>
    <row r="99" spans="1:21" x14ac:dyDescent="0.2">
      <c r="A99" s="1" t="s">
        <v>232</v>
      </c>
      <c r="B99" s="168"/>
      <c r="C99" s="167"/>
      <c r="D99" s="166">
        <v>1</v>
      </c>
      <c r="E99" s="165"/>
      <c r="F99" s="82"/>
      <c r="G99" s="185" t="s">
        <v>231</v>
      </c>
      <c r="H99" s="42">
        <f>SUMIF('[1]BDV 2024'!$B$1:$B$65536,$A99,'[1]BDV 2024'!$O$1:$O$65536)</f>
        <v>0</v>
      </c>
      <c r="I99" s="176">
        <v>1998859</v>
      </c>
      <c r="J99" s="28">
        <f>H99-I99</f>
        <v>-1998859</v>
      </c>
      <c r="K99" s="28">
        <f>IF(I99=0,0,J99/I99*100)</f>
        <v>-100</v>
      </c>
      <c r="L99" s="41">
        <v>0</v>
      </c>
      <c r="M99" s="61">
        <f>H99-L99</f>
        <v>0</v>
      </c>
      <c r="O99" s="153" t="s">
        <v>230</v>
      </c>
      <c r="P99" s="136" t="e">
        <f>+H89</f>
        <v>#REF!</v>
      </c>
      <c r="Q99" s="136">
        <v>31121.77</v>
      </c>
      <c r="R99" s="137" t="e">
        <f>+P99-Q99</f>
        <v>#REF!</v>
      </c>
      <c r="S99" s="136">
        <v>4402.55</v>
      </c>
      <c r="T99" s="136">
        <v>31121.77</v>
      </c>
      <c r="U99" s="136">
        <v>30402.55</v>
      </c>
    </row>
    <row r="100" spans="1:21" x14ac:dyDescent="0.2">
      <c r="A100" s="1" t="s">
        <v>229</v>
      </c>
      <c r="B100" s="168"/>
      <c r="C100" s="167"/>
      <c r="D100" s="166">
        <v>2</v>
      </c>
      <c r="E100" s="165"/>
      <c r="F100" s="82"/>
      <c r="G100" s="164" t="s">
        <v>228</v>
      </c>
      <c r="H100" s="42">
        <f>SUMIF('[1]BDV 2024'!$B$1:$B$65536,$A100,'[1]BDV 2024'!$O$1:$O$65536)</f>
        <v>0</v>
      </c>
      <c r="I100" s="163">
        <v>0</v>
      </c>
      <c r="J100" s="61">
        <f>H100-I100</f>
        <v>0</v>
      </c>
      <c r="K100" s="61">
        <f>IF(I100=0,0,J100/I100*100)</f>
        <v>0</v>
      </c>
      <c r="L100" s="41">
        <v>0</v>
      </c>
      <c r="M100" s="40">
        <f>H100-L100</f>
        <v>0</v>
      </c>
      <c r="O100" s="153" t="s">
        <v>227</v>
      </c>
      <c r="P100" s="180"/>
      <c r="Q100" s="180"/>
      <c r="R100" s="137">
        <f>+P100-Q100</f>
        <v>0</v>
      </c>
      <c r="S100" s="180"/>
      <c r="T100" s="180"/>
      <c r="U100" s="180"/>
    </row>
    <row r="101" spans="1:21" x14ac:dyDescent="0.2">
      <c r="B101" s="168"/>
      <c r="C101" s="167"/>
      <c r="D101" s="166"/>
      <c r="E101" s="38" t="s">
        <v>72</v>
      </c>
      <c r="F101" s="82"/>
      <c r="G101" s="164"/>
      <c r="H101" s="56">
        <f>SUM(H99:H100)</f>
        <v>0</v>
      </c>
      <c r="I101" s="170">
        <f>SUM(I99:I100)</f>
        <v>1998859</v>
      </c>
      <c r="J101" s="36">
        <f>H101-I101</f>
        <v>-1998859</v>
      </c>
      <c r="K101" s="36">
        <f>IF(I101=0,0,J101/I101*100)</f>
        <v>-100</v>
      </c>
      <c r="L101" s="55">
        <v>0</v>
      </c>
      <c r="M101" s="194">
        <f>H101-L101</f>
        <v>0</v>
      </c>
      <c r="O101" s="191" t="s">
        <v>44</v>
      </c>
      <c r="P101" s="189" t="e">
        <f>SUM(P91:P100)</f>
        <v>#REF!</v>
      </c>
      <c r="Q101" s="189">
        <v>64072784.427673385</v>
      </c>
      <c r="R101" s="190" t="e">
        <f>+P101-Q101</f>
        <v>#REF!</v>
      </c>
      <c r="S101" s="189">
        <v>64041662.659999996</v>
      </c>
      <c r="T101" s="189">
        <v>64072784.427673385</v>
      </c>
      <c r="U101" s="189">
        <v>64103186.971061051</v>
      </c>
    </row>
    <row r="102" spans="1:21" x14ac:dyDescent="0.2">
      <c r="B102" s="168"/>
      <c r="C102" s="167"/>
      <c r="D102" s="166"/>
      <c r="E102" s="165"/>
      <c r="F102" s="82"/>
      <c r="G102" s="164"/>
      <c r="H102" s="181"/>
      <c r="I102" s="173"/>
      <c r="J102" s="172"/>
      <c r="K102" s="28"/>
      <c r="L102" s="175"/>
      <c r="M102" s="49"/>
      <c r="O102" s="193" t="s">
        <v>226</v>
      </c>
      <c r="P102" s="136"/>
      <c r="Q102" s="136"/>
      <c r="R102" s="137">
        <f>+P102-Q102</f>
        <v>0</v>
      </c>
      <c r="S102" s="136"/>
      <c r="T102" s="136"/>
      <c r="U102" s="136"/>
    </row>
    <row r="103" spans="1:21" ht="13.5" x14ac:dyDescent="0.25">
      <c r="B103" s="171" t="s">
        <v>69</v>
      </c>
      <c r="C103" s="167"/>
      <c r="D103" s="166"/>
      <c r="E103" s="165" t="s">
        <v>225</v>
      </c>
      <c r="F103" s="82"/>
      <c r="G103" s="164"/>
      <c r="H103" s="182"/>
      <c r="I103" s="170"/>
      <c r="J103" s="172"/>
      <c r="K103" s="28"/>
      <c r="L103" s="169"/>
      <c r="M103" s="192"/>
      <c r="O103" s="153" t="s">
        <v>224</v>
      </c>
      <c r="P103" s="136"/>
      <c r="Q103" s="136"/>
      <c r="R103" s="137">
        <f>+P103-Q103</f>
        <v>0</v>
      </c>
      <c r="S103" s="136"/>
      <c r="T103" s="136"/>
      <c r="U103" s="136"/>
    </row>
    <row r="104" spans="1:21" x14ac:dyDescent="0.2">
      <c r="A104" s="1" t="s">
        <v>223</v>
      </c>
      <c r="B104" s="168"/>
      <c r="C104" s="167"/>
      <c r="D104" s="166">
        <v>1</v>
      </c>
      <c r="E104" s="165"/>
      <c r="F104" s="82"/>
      <c r="G104" s="164" t="s">
        <v>222</v>
      </c>
      <c r="H104" s="42">
        <f>SUMIF('[1]BDV 2024'!$B$1:$B$65536,$A104,'[1]BDV 2024'!$O$1:$O$65536)</f>
        <v>0</v>
      </c>
      <c r="I104" s="163">
        <v>0</v>
      </c>
      <c r="J104" s="61">
        <f>H104-I104</f>
        <v>0</v>
      </c>
      <c r="K104" s="61">
        <f>IF(I104=0,0,J104/I104*100)</f>
        <v>0</v>
      </c>
      <c r="L104" s="41">
        <v>0</v>
      </c>
      <c r="M104" s="40">
        <f>H104-L104</f>
        <v>0</v>
      </c>
      <c r="O104" s="153" t="s">
        <v>221</v>
      </c>
      <c r="P104" s="136"/>
      <c r="Q104" s="136"/>
      <c r="R104" s="137">
        <f>+P104-Q104</f>
        <v>0</v>
      </c>
      <c r="S104" s="136"/>
      <c r="T104" s="136"/>
      <c r="U104" s="136"/>
    </row>
    <row r="105" spans="1:21" x14ac:dyDescent="0.2">
      <c r="A105" s="1" t="s">
        <v>220</v>
      </c>
      <c r="B105" s="168"/>
      <c r="C105" s="167"/>
      <c r="D105" s="166">
        <v>2</v>
      </c>
      <c r="E105" s="165"/>
      <c r="F105" s="82"/>
      <c r="G105" s="164" t="s">
        <v>219</v>
      </c>
      <c r="H105" s="184">
        <f>SUMIF('[1]BDV 2024'!$B$1:$B$65536,$A105,'[1]BDV 2024'!$O$1:$O$65536)</f>
        <v>4093.98</v>
      </c>
      <c r="I105" s="176">
        <v>28847598.609999999</v>
      </c>
      <c r="J105" s="28">
        <f>H105-I105</f>
        <v>-28843504.629999999</v>
      </c>
      <c r="K105" s="28">
        <f>IF(I105=0,0,J105/I105*100)</f>
        <v>-99.98580824679604</v>
      </c>
      <c r="L105" s="183">
        <v>15354.42</v>
      </c>
      <c r="M105" s="61">
        <f>H105-L105</f>
        <v>-11260.44</v>
      </c>
      <c r="O105" s="153" t="s">
        <v>218</v>
      </c>
      <c r="P105" s="136"/>
      <c r="Q105" s="136"/>
      <c r="R105" s="137">
        <f>+P105-Q105</f>
        <v>0</v>
      </c>
      <c r="S105" s="136"/>
      <c r="T105" s="136"/>
      <c r="U105" s="136"/>
    </row>
    <row r="106" spans="1:21" x14ac:dyDescent="0.2">
      <c r="A106" s="1" t="s">
        <v>217</v>
      </c>
      <c r="B106" s="168"/>
      <c r="C106" s="167"/>
      <c r="D106" s="166">
        <v>3</v>
      </c>
      <c r="E106" s="165"/>
      <c r="F106" s="82"/>
      <c r="G106" s="164" t="s">
        <v>216</v>
      </c>
      <c r="H106" s="184">
        <f>SUMIF('[1]BDV 2024'!$B$1:$B$65536,$A106,'[1]BDV 2024'!$O$1:$O$65536)</f>
        <v>0</v>
      </c>
      <c r="I106" s="176">
        <v>2778352.63</v>
      </c>
      <c r="J106" s="28">
        <f>H106-I106</f>
        <v>-2778352.63</v>
      </c>
      <c r="K106" s="28">
        <f>IF(I106=0,0,J106/I106*100)</f>
        <v>-100</v>
      </c>
      <c r="L106" s="183">
        <v>32976.74</v>
      </c>
      <c r="M106" s="39">
        <f>H106-L106-1</f>
        <v>-32977.74</v>
      </c>
      <c r="O106" s="153" t="s">
        <v>215</v>
      </c>
      <c r="P106" s="136">
        <f>+H96</f>
        <v>6463505.29</v>
      </c>
      <c r="Q106" s="136">
        <v>6263505.29</v>
      </c>
      <c r="R106" s="137">
        <f>+P106-Q106</f>
        <v>200000</v>
      </c>
      <c r="S106" s="136">
        <v>6163505.29</v>
      </c>
      <c r="T106" s="136">
        <v>6263505.29</v>
      </c>
      <c r="U106" s="136">
        <v>6463505.29</v>
      </c>
    </row>
    <row r="107" spans="1:21" x14ac:dyDescent="0.2">
      <c r="A107" s="1" t="s">
        <v>214</v>
      </c>
      <c r="B107" s="168"/>
      <c r="C107" s="167"/>
      <c r="D107" s="166">
        <v>4</v>
      </c>
      <c r="E107" s="165"/>
      <c r="F107" s="82"/>
      <c r="G107" s="164" t="s">
        <v>213</v>
      </c>
      <c r="H107" s="184">
        <f>SUMIF('[1]BDV 2024'!$B$1:$B$65536,$A107,'[1]BDV 2024'!$O$1:$O$65536)</f>
        <v>232638.55</v>
      </c>
      <c r="I107" s="176">
        <v>568197.03</v>
      </c>
      <c r="J107" s="28">
        <f>H107-I107</f>
        <v>-335558.48000000004</v>
      </c>
      <c r="K107" s="28">
        <f>IF(I107=0,0,J107/I107*100)</f>
        <v>-59.056711366477934</v>
      </c>
      <c r="L107" s="183">
        <v>844574.61</v>
      </c>
      <c r="M107" s="39">
        <f>H107-L107</f>
        <v>-611936.06000000006</v>
      </c>
      <c r="O107" s="191" t="s">
        <v>44</v>
      </c>
      <c r="P107" s="189">
        <f>+P103+P104+P105+P106</f>
        <v>6463505.29</v>
      </c>
      <c r="Q107" s="189">
        <v>6263505.29</v>
      </c>
      <c r="R107" s="190">
        <f>+P107-Q107</f>
        <v>200000</v>
      </c>
      <c r="S107" s="189">
        <v>6163505.29</v>
      </c>
      <c r="T107" s="189">
        <v>6263505.29</v>
      </c>
      <c r="U107" s="189">
        <v>6463505.29</v>
      </c>
    </row>
    <row r="108" spans="1:21" x14ac:dyDescent="0.2">
      <c r="A108" s="1" t="s">
        <v>212</v>
      </c>
      <c r="B108" s="168"/>
      <c r="C108" s="167"/>
      <c r="D108" s="166">
        <v>5</v>
      </c>
      <c r="E108" s="165"/>
      <c r="F108" s="82"/>
      <c r="G108" s="164" t="s">
        <v>211</v>
      </c>
      <c r="H108" s="184">
        <f>SUMIF('[1]BDV 2024'!$B$1:$B$65536,$A108,'[1]BDV 2024'!$O$1:$O$65536)</f>
        <v>39561.99</v>
      </c>
      <c r="I108" s="163">
        <v>0</v>
      </c>
      <c r="J108" s="61">
        <f>H108-I108</f>
        <v>39561.99</v>
      </c>
      <c r="K108" s="61">
        <f>IF(I108=0,0,J108/I108*100)</f>
        <v>0</v>
      </c>
      <c r="L108" s="183">
        <v>61573.95</v>
      </c>
      <c r="M108" s="39">
        <f>H108-L108</f>
        <v>-22011.96</v>
      </c>
      <c r="O108" s="188" t="s">
        <v>210</v>
      </c>
      <c r="P108" s="135"/>
      <c r="Q108" s="135"/>
      <c r="R108" s="150">
        <f>+P108-Q108</f>
        <v>0</v>
      </c>
      <c r="S108" s="135"/>
      <c r="T108" s="135"/>
      <c r="U108" s="135"/>
    </row>
    <row r="109" spans="1:21" x14ac:dyDescent="0.2">
      <c r="A109" s="1" t="s">
        <v>209</v>
      </c>
      <c r="B109" s="168"/>
      <c r="C109" s="167"/>
      <c r="D109" s="166">
        <v>6</v>
      </c>
      <c r="E109" s="165"/>
      <c r="F109" s="82"/>
      <c r="G109" s="164" t="s">
        <v>208</v>
      </c>
      <c r="H109" s="184">
        <f>SUMIF('[1]BDV 2024'!$B$1:$B$65536,$A109,'[1]BDV 2024'!$O$1:$O$65536)</f>
        <v>3551307.0899999994</v>
      </c>
      <c r="I109" s="176">
        <v>124626467.14</v>
      </c>
      <c r="J109" s="28">
        <f>H109-I109</f>
        <v>-121075160.05</v>
      </c>
      <c r="K109" s="28">
        <f>IF(I109=0,0,J109/I109*100)</f>
        <v>-97.150439090911064</v>
      </c>
      <c r="L109" s="183">
        <v>1802041.4</v>
      </c>
      <c r="M109" s="39">
        <f>H109-L109</f>
        <v>1749265.6899999995</v>
      </c>
      <c r="N109" s="46"/>
      <c r="O109" s="138" t="s">
        <v>207</v>
      </c>
      <c r="P109" s="186"/>
      <c r="Q109" s="186"/>
      <c r="R109" s="187">
        <f>+P109-Q109</f>
        <v>0</v>
      </c>
      <c r="S109" s="186"/>
      <c r="T109" s="186"/>
      <c r="U109" s="186"/>
    </row>
    <row r="110" spans="1:21" x14ac:dyDescent="0.2">
      <c r="A110" s="1" t="s">
        <v>206</v>
      </c>
      <c r="B110" s="168"/>
      <c r="C110" s="167"/>
      <c r="D110" s="166">
        <v>7</v>
      </c>
      <c r="E110" s="165"/>
      <c r="F110" s="82"/>
      <c r="G110" s="164" t="s">
        <v>205</v>
      </c>
      <c r="H110" s="42">
        <f>SUMIF('[1]BDV 2024'!$B$1:$B$65536,$A110,'[1]BDV 2024'!$O$1:$O$65536)</f>
        <v>0</v>
      </c>
      <c r="I110" s="176">
        <v>77452938.899999991</v>
      </c>
      <c r="J110" s="28">
        <f>H110-I110</f>
        <v>-77452938.899999991</v>
      </c>
      <c r="K110" s="28">
        <f>IF(I110=0,0,J110/I110*100)</f>
        <v>-100</v>
      </c>
      <c r="L110" s="41">
        <v>0</v>
      </c>
      <c r="M110" s="61">
        <f>H110-L110</f>
        <v>0</v>
      </c>
      <c r="N110" s="46"/>
      <c r="O110" s="153" t="s">
        <v>204</v>
      </c>
      <c r="P110" s="136"/>
      <c r="Q110" s="136"/>
      <c r="R110" s="137">
        <f>+P110-Q110</f>
        <v>0</v>
      </c>
      <c r="S110" s="136"/>
      <c r="T110" s="136"/>
      <c r="U110" s="136"/>
    </row>
    <row r="111" spans="1:21" x14ac:dyDescent="0.2">
      <c r="A111" s="1" t="s">
        <v>203</v>
      </c>
      <c r="B111" s="168"/>
      <c r="C111" s="167"/>
      <c r="D111" s="166">
        <v>8</v>
      </c>
      <c r="E111" s="165"/>
      <c r="F111" s="82"/>
      <c r="G111" s="164" t="s">
        <v>202</v>
      </c>
      <c r="H111" s="184">
        <f>SUMIF('[1]BDV 2024'!$B$1:$B$65536,$A111,'[1]BDV 2024'!$O$1:$O$65536)</f>
        <v>609544.67000000004</v>
      </c>
      <c r="I111" s="176">
        <v>7318221.1800000006</v>
      </c>
      <c r="J111" s="28">
        <f>H111-I111</f>
        <v>-6708676.5100000007</v>
      </c>
      <c r="K111" s="28">
        <f>IF(I111=0,0,J111/I111*100)</f>
        <v>-91.67086297328882</v>
      </c>
      <c r="L111" s="183">
        <v>1175444.44</v>
      </c>
      <c r="M111" s="39">
        <f>H111-L111</f>
        <v>-565899.7699999999</v>
      </c>
      <c r="O111" s="153" t="s">
        <v>201</v>
      </c>
      <c r="P111" s="136"/>
      <c r="Q111" s="136"/>
      <c r="R111" s="137">
        <f>+P111-Q111</f>
        <v>0</v>
      </c>
      <c r="S111" s="136"/>
      <c r="T111" s="136"/>
      <c r="U111" s="136"/>
    </row>
    <row r="112" spans="1:21" x14ac:dyDescent="0.2">
      <c r="A112" s="1" t="s">
        <v>200</v>
      </c>
      <c r="B112" s="168"/>
      <c r="C112" s="167"/>
      <c r="D112" s="166">
        <v>9</v>
      </c>
      <c r="E112" s="165"/>
      <c r="F112" s="82"/>
      <c r="G112" s="185" t="s">
        <v>199</v>
      </c>
      <c r="H112" s="184">
        <f>SUMIF('[1]BDV 2024'!$B$1:$B$65536,$A112,'[1]BDV 2024'!$O$1:$O$65536)</f>
        <v>1175893.2699999998</v>
      </c>
      <c r="I112" s="176">
        <v>9340634.709999999</v>
      </c>
      <c r="J112" s="28">
        <f>H112-I112</f>
        <v>-8164741.4399999995</v>
      </c>
      <c r="K112" s="28">
        <f>IF(I112=0,0,J112/I112*100)</f>
        <v>-87.410991795438704</v>
      </c>
      <c r="L112" s="183">
        <v>1290248.27</v>
      </c>
      <c r="M112" s="39">
        <f>H112-L112</f>
        <v>-114355.00000000023</v>
      </c>
      <c r="O112" s="153" t="s">
        <v>198</v>
      </c>
      <c r="P112" s="136"/>
      <c r="Q112" s="136"/>
      <c r="R112" s="137">
        <f>+P112-Q112</f>
        <v>0</v>
      </c>
      <c r="S112" s="136"/>
      <c r="T112" s="136"/>
      <c r="U112" s="136"/>
    </row>
    <row r="113" spans="1:21" x14ac:dyDescent="0.2">
      <c r="A113" s="1" t="s">
        <v>197</v>
      </c>
      <c r="B113" s="168"/>
      <c r="C113" s="167"/>
      <c r="D113" s="166">
        <v>10</v>
      </c>
      <c r="E113" s="165"/>
      <c r="F113" s="82"/>
      <c r="G113" s="164" t="s">
        <v>196</v>
      </c>
      <c r="H113" s="184">
        <f>SUMIF('[1]BDV 2024'!$B$1:$B$65536,$A113,'[1]BDV 2024'!$O$1:$O$65536)</f>
        <v>2386880.2800000007</v>
      </c>
      <c r="I113" s="176">
        <v>24034671.900000002</v>
      </c>
      <c r="J113" s="28">
        <f>H113-I113</f>
        <v>-21647791.620000001</v>
      </c>
      <c r="K113" s="28">
        <f>IF(I113=0,0,J113/I113*100)</f>
        <v>-90.069012425337078</v>
      </c>
      <c r="L113" s="183">
        <v>823241.3</v>
      </c>
      <c r="M113" s="39">
        <f>H113-L113</f>
        <v>1563638.9800000007</v>
      </c>
      <c r="O113" s="153" t="s">
        <v>195</v>
      </c>
      <c r="P113" s="136"/>
      <c r="Q113" s="136"/>
      <c r="R113" s="137">
        <f>+P113-Q113</f>
        <v>0</v>
      </c>
      <c r="S113" s="136"/>
      <c r="T113" s="136"/>
      <c r="U113" s="136"/>
    </row>
    <row r="114" spans="1:21" ht="13.5" x14ac:dyDescent="0.25">
      <c r="B114" s="168"/>
      <c r="C114" s="167"/>
      <c r="D114" s="166"/>
      <c r="E114" s="38" t="s">
        <v>65</v>
      </c>
      <c r="F114" s="82"/>
      <c r="G114" s="164"/>
      <c r="H114" s="182">
        <f>SUM(H104:H113)</f>
        <v>7999919.8300000001</v>
      </c>
      <c r="I114" s="174">
        <f>SUM(I104:I113)</f>
        <v>274967082.10000002</v>
      </c>
      <c r="J114" s="64">
        <f>SUM(J104:J113)</f>
        <v>-266967162.26999998</v>
      </c>
      <c r="K114" s="64">
        <f>SUM(K104:K113)</f>
        <v>-725.34382589824963</v>
      </c>
      <c r="L114" s="169">
        <v>6045455.1299999999</v>
      </c>
      <c r="M114" s="62">
        <f>H114-L114</f>
        <v>1954464.7000000002</v>
      </c>
      <c r="N114" s="46"/>
      <c r="O114" s="153" t="s">
        <v>194</v>
      </c>
      <c r="P114" s="136"/>
      <c r="Q114" s="136"/>
      <c r="R114" s="137">
        <f>+P114-Q114</f>
        <v>0</v>
      </c>
      <c r="S114" s="136"/>
      <c r="T114" s="136"/>
      <c r="U114" s="136"/>
    </row>
    <row r="115" spans="1:21" x14ac:dyDescent="0.2">
      <c r="B115" s="168"/>
      <c r="C115" s="167"/>
      <c r="D115" s="166"/>
      <c r="E115" s="165"/>
      <c r="F115" s="82"/>
      <c r="G115" s="164"/>
      <c r="H115" s="181"/>
      <c r="I115" s="173"/>
      <c r="J115" s="172"/>
      <c r="K115" s="28"/>
      <c r="L115" s="175"/>
      <c r="M115" s="49"/>
      <c r="O115" s="153" t="s">
        <v>193</v>
      </c>
      <c r="P115" s="180"/>
      <c r="Q115" s="180"/>
      <c r="R115" s="137">
        <f>+P115-Q115</f>
        <v>0</v>
      </c>
      <c r="S115" s="180"/>
      <c r="T115" s="180"/>
      <c r="U115" s="180"/>
    </row>
    <row r="116" spans="1:21" ht="13.5" x14ac:dyDescent="0.25">
      <c r="A116" s="179" t="s">
        <v>62</v>
      </c>
      <c r="B116" s="171" t="s">
        <v>62</v>
      </c>
      <c r="C116" s="167"/>
      <c r="D116" s="166"/>
      <c r="E116" s="165" t="s">
        <v>192</v>
      </c>
      <c r="F116" s="82"/>
      <c r="G116" s="164"/>
      <c r="H116" s="178">
        <f>SUMIF('[1]BDV 2024'!$B$1:$B$65536,$A116,'[1]BDV 2024'!$O$1:$O$65536)</f>
        <v>4430987.5650000004</v>
      </c>
      <c r="I116" s="170">
        <v>4539626.3600000003</v>
      </c>
      <c r="J116" s="36">
        <f>H116-I116</f>
        <v>-108638.79499999993</v>
      </c>
      <c r="K116" s="36">
        <f>IF(I116=0,0,J116/I116*100)</f>
        <v>-2.3931219528824816</v>
      </c>
      <c r="L116" s="177">
        <v>59905</v>
      </c>
      <c r="M116" s="62">
        <f>H116-L116</f>
        <v>4371082.5650000004</v>
      </c>
      <c r="O116" s="153" t="s">
        <v>191</v>
      </c>
      <c r="P116" s="136">
        <f>+'[1]BDV 2024'!Q141</f>
        <v>3805339.52</v>
      </c>
      <c r="Q116" s="136">
        <v>3805339.52</v>
      </c>
      <c r="R116" s="137">
        <f>+P116-Q116</f>
        <v>0</v>
      </c>
      <c r="S116" s="136">
        <v>3805339.52</v>
      </c>
      <c r="T116" s="136">
        <v>3805339.52</v>
      </c>
      <c r="U116" s="136">
        <v>3805339.52</v>
      </c>
    </row>
    <row r="117" spans="1:21" x14ac:dyDescent="0.2">
      <c r="B117" s="168"/>
      <c r="C117" s="167"/>
      <c r="D117" s="166"/>
      <c r="E117" s="165"/>
      <c r="F117" s="82"/>
      <c r="G117" s="164"/>
      <c r="H117" s="51"/>
      <c r="I117" s="176"/>
      <c r="J117" s="172"/>
      <c r="K117" s="28"/>
      <c r="L117" s="175"/>
      <c r="M117" s="49"/>
      <c r="N117" s="119"/>
      <c r="O117" s="153" t="s">
        <v>190</v>
      </c>
      <c r="P117" s="136"/>
      <c r="Q117" s="136"/>
      <c r="R117" s="137">
        <f>+P117-Q117</f>
        <v>0</v>
      </c>
      <c r="S117" s="136"/>
      <c r="T117" s="136"/>
      <c r="U117" s="136"/>
    </row>
    <row r="118" spans="1:21" ht="13.5" x14ac:dyDescent="0.25">
      <c r="B118" s="168" t="s">
        <v>189</v>
      </c>
      <c r="C118" s="167"/>
      <c r="D118" s="166"/>
      <c r="E118" s="165"/>
      <c r="F118" s="82"/>
      <c r="G118" s="164"/>
      <c r="H118" s="21" t="e">
        <f>H90+H96+H101+H114+H116</f>
        <v>#REF!</v>
      </c>
      <c r="I118" s="174">
        <f>I90+I96+I101+I114+I116</f>
        <v>399661365.95000005</v>
      </c>
      <c r="J118" s="64" t="e">
        <f>J90+J96+J101+J114+J116</f>
        <v>#REF!</v>
      </c>
      <c r="K118" s="64" t="e">
        <f>K90+K96+K101+K114+K116</f>
        <v>#REF!</v>
      </c>
      <c r="L118" s="169">
        <v>63234063.330000006</v>
      </c>
      <c r="M118" s="62" t="e">
        <f>H118-L118</f>
        <v>#REF!</v>
      </c>
      <c r="N118" s="46"/>
      <c r="O118" s="153" t="s">
        <v>188</v>
      </c>
      <c r="P118" s="136"/>
      <c r="Q118" s="136"/>
      <c r="R118" s="137">
        <f>+P118-Q118</f>
        <v>0</v>
      </c>
      <c r="S118" s="136"/>
      <c r="T118" s="136"/>
      <c r="U118" s="136"/>
    </row>
    <row r="119" spans="1:21" x14ac:dyDescent="0.2">
      <c r="B119" s="168"/>
      <c r="C119" s="167"/>
      <c r="D119" s="166"/>
      <c r="E119" s="165"/>
      <c r="F119" s="82"/>
      <c r="G119" s="164"/>
      <c r="H119" s="64"/>
      <c r="I119" s="173"/>
      <c r="J119" s="172"/>
      <c r="K119" s="28"/>
      <c r="L119" s="169"/>
      <c r="M119" s="64"/>
      <c r="N119" s="119"/>
      <c r="O119" s="153" t="s">
        <v>187</v>
      </c>
      <c r="P119" s="136"/>
      <c r="Q119" s="136"/>
      <c r="R119" s="137">
        <f>+P119-Q119</f>
        <v>0</v>
      </c>
      <c r="S119" s="136"/>
      <c r="T119" s="136"/>
      <c r="U119" s="136"/>
    </row>
    <row r="120" spans="1:21" x14ac:dyDescent="0.2">
      <c r="B120" s="171" t="s">
        <v>50</v>
      </c>
      <c r="C120" s="167"/>
      <c r="D120" s="166"/>
      <c r="E120" s="165" t="s">
        <v>186</v>
      </c>
      <c r="F120" s="82"/>
      <c r="G120" s="164"/>
      <c r="H120" s="64" t="s">
        <v>174</v>
      </c>
      <c r="I120" s="170">
        <f>SUM(I121:I122)</f>
        <v>300255</v>
      </c>
      <c r="J120" s="36" t="e">
        <f>H120-I120</f>
        <v>#VALUE!</v>
      </c>
      <c r="K120" s="28" t="e">
        <f>IF(I120=0,0,J120/I120*100)</f>
        <v>#VALUE!</v>
      </c>
      <c r="L120" s="169" t="s">
        <v>174</v>
      </c>
      <c r="M120" s="64" t="s">
        <v>174</v>
      </c>
      <c r="N120" s="119"/>
      <c r="O120" s="153" t="s">
        <v>185</v>
      </c>
      <c r="P120" s="136">
        <f>+'[1]BDV 2024'!Q130</f>
        <v>4093.98</v>
      </c>
      <c r="Q120" s="136">
        <v>4093.98</v>
      </c>
      <c r="R120" s="137">
        <f>+P120-Q120</f>
        <v>0</v>
      </c>
      <c r="S120" s="136">
        <v>4093.98</v>
      </c>
      <c r="T120" s="136">
        <v>4093.98</v>
      </c>
      <c r="U120" s="136">
        <v>4093.98</v>
      </c>
    </row>
    <row r="121" spans="1:21" x14ac:dyDescent="0.2">
      <c r="A121" s="1" t="s">
        <v>184</v>
      </c>
      <c r="B121" s="168"/>
      <c r="C121" s="167"/>
      <c r="D121" s="166">
        <v>1</v>
      </c>
      <c r="E121" s="165"/>
      <c r="F121" s="82"/>
      <c r="G121" s="164" t="s">
        <v>183</v>
      </c>
      <c r="H121" s="61">
        <f>SUMIF('[1]BDV 2024'!$B$1:$B$65536,$A121,'[1]BDV 2024'!$O$1:$O$65536)</f>
        <v>0</v>
      </c>
      <c r="I121" s="163">
        <v>300255</v>
      </c>
      <c r="J121" s="61">
        <f>H121-I121</f>
        <v>-300255</v>
      </c>
      <c r="K121" s="61">
        <f>IF(I121=0,0,J121/I121*100)</f>
        <v>-100</v>
      </c>
      <c r="L121" s="41">
        <v>0</v>
      </c>
      <c r="M121" s="61">
        <v>0</v>
      </c>
      <c r="N121" s="119"/>
      <c r="O121" s="153" t="s">
        <v>182</v>
      </c>
      <c r="P121" s="136"/>
      <c r="Q121" s="136"/>
      <c r="R121" s="137">
        <f>+P121-Q121</f>
        <v>0</v>
      </c>
      <c r="S121" s="136"/>
      <c r="T121" s="136"/>
      <c r="U121" s="136"/>
    </row>
    <row r="122" spans="1:21" ht="13.5" thickBot="1" x14ac:dyDescent="0.25">
      <c r="A122" s="1" t="s">
        <v>181</v>
      </c>
      <c r="B122" s="162"/>
      <c r="C122" s="161"/>
      <c r="D122" s="160">
        <v>2</v>
      </c>
      <c r="E122" s="159"/>
      <c r="F122" s="158"/>
      <c r="G122" s="157" t="s">
        <v>180</v>
      </c>
      <c r="H122" s="154">
        <f>SUMIF('[1]BDV 2024'!$B$1:$B$65536,$A122,'[1]BDV 2024'!$O$1:$O$65536)</f>
        <v>0</v>
      </c>
      <c r="I122" s="156">
        <v>0</v>
      </c>
      <c r="J122" s="154">
        <f>H122-I122</f>
        <v>0</v>
      </c>
      <c r="K122" s="154">
        <f>IF(I122=0,0,J122/I122*100)</f>
        <v>0</v>
      </c>
      <c r="L122" s="155">
        <v>0</v>
      </c>
      <c r="M122" s="154">
        <v>0</v>
      </c>
      <c r="O122" s="153" t="s">
        <v>179</v>
      </c>
      <c r="P122" s="136">
        <f>+'[1]BDV 2024'!Q167</f>
        <v>609544.67000000004</v>
      </c>
      <c r="Q122" s="136">
        <v>609544.67000000004</v>
      </c>
      <c r="R122" s="137">
        <f>+P122-Q122</f>
        <v>0</v>
      </c>
      <c r="S122" s="136">
        <v>609544.67000000004</v>
      </c>
      <c r="T122" s="136">
        <v>609544.67000000004</v>
      </c>
      <c r="U122" s="136">
        <v>609544.67000000004</v>
      </c>
    </row>
    <row r="123" spans="1:21" x14ac:dyDescent="0.2">
      <c r="B123" s="146"/>
      <c r="C123" s="145"/>
      <c r="D123" s="144"/>
      <c r="E123" s="143"/>
      <c r="F123" s="142"/>
      <c r="G123" s="141"/>
      <c r="H123" s="114"/>
      <c r="I123" s="140"/>
      <c r="J123" s="104"/>
      <c r="K123" s="139"/>
      <c r="L123" s="104"/>
      <c r="M123" s="104"/>
      <c r="O123" s="153" t="s">
        <v>178</v>
      </c>
      <c r="P123" s="136">
        <f>+'[1]BDV 2024'!Q157</f>
        <v>1175893.2699999998</v>
      </c>
      <c r="Q123" s="136">
        <v>1175893.2699999998</v>
      </c>
      <c r="R123" s="137">
        <f>+P123-Q123</f>
        <v>0</v>
      </c>
      <c r="S123" s="136">
        <v>1175893.2699999998</v>
      </c>
      <c r="T123" s="136">
        <v>1175893.2699999998</v>
      </c>
      <c r="U123" s="136">
        <v>1175893.2699999998</v>
      </c>
    </row>
    <row r="124" spans="1:21" ht="12.75" customHeight="1" x14ac:dyDescent="0.2">
      <c r="B124" s="146"/>
      <c r="C124" s="145"/>
      <c r="D124" s="144"/>
      <c r="E124" s="143"/>
      <c r="F124" s="142"/>
      <c r="G124" s="141"/>
      <c r="H124" s="152" t="e">
        <f>+H63-H118</f>
        <v>#REF!</v>
      </c>
      <c r="I124" s="140"/>
      <c r="J124" s="104"/>
      <c r="K124" s="139"/>
      <c r="L124" s="104"/>
      <c r="M124" s="104"/>
      <c r="O124" s="151" t="s">
        <v>177</v>
      </c>
      <c r="P124" s="135">
        <f>+'[1]BDV 2024'!Q150</f>
        <v>2405048.39</v>
      </c>
      <c r="Q124" s="135">
        <v>2405048.39</v>
      </c>
      <c r="R124" s="150">
        <f>+P124-Q124</f>
        <v>0</v>
      </c>
      <c r="S124" s="135">
        <v>2405048.39</v>
      </c>
      <c r="T124" s="135">
        <v>2405048.39</v>
      </c>
      <c r="U124" s="135">
        <v>2405048.39</v>
      </c>
    </row>
    <row r="125" spans="1:21" ht="18" customHeight="1" x14ac:dyDescent="0.2">
      <c r="B125" s="146"/>
      <c r="C125" s="145"/>
      <c r="D125" s="144"/>
      <c r="E125" s="143"/>
      <c r="F125" s="142"/>
      <c r="G125" s="141"/>
      <c r="H125" s="104"/>
      <c r="I125" s="140"/>
      <c r="J125" s="104"/>
      <c r="K125" s="139"/>
      <c r="L125" s="104"/>
      <c r="M125" s="104"/>
      <c r="O125" s="149" t="s">
        <v>44</v>
      </c>
      <c r="P125" s="147">
        <f>SUM(P110:P124)</f>
        <v>7999919.8300000001</v>
      </c>
      <c r="Q125" s="147">
        <v>7999919.8300000001</v>
      </c>
      <c r="R125" s="148">
        <f>+P125-Q125</f>
        <v>0</v>
      </c>
      <c r="S125" s="147">
        <v>7999919.8300000001</v>
      </c>
      <c r="T125" s="147">
        <v>7999919.8300000001</v>
      </c>
      <c r="U125" s="147">
        <v>7999919.8300000001</v>
      </c>
    </row>
    <row r="126" spans="1:21" ht="16.5" customHeight="1" x14ac:dyDescent="0.2">
      <c r="B126" s="146"/>
      <c r="C126" s="145"/>
      <c r="D126" s="144"/>
      <c r="E126" s="143"/>
      <c r="F126" s="142"/>
      <c r="G126" s="141"/>
      <c r="H126" s="104"/>
      <c r="I126" s="140"/>
      <c r="J126" s="104"/>
      <c r="K126" s="139"/>
      <c r="L126" s="104"/>
      <c r="M126" s="104"/>
      <c r="O126" s="138" t="s">
        <v>176</v>
      </c>
      <c r="P126" s="135">
        <f>+H80+H81+H116</f>
        <v>4430987.5650000004</v>
      </c>
      <c r="Q126" s="136">
        <v>5521601.7150000008</v>
      </c>
      <c r="R126" s="137">
        <f>+P126-Q126</f>
        <v>-1090614.1500000004</v>
      </c>
      <c r="S126" s="136">
        <v>6701845.8650000002</v>
      </c>
      <c r="T126" s="136">
        <v>5521601.7150000008</v>
      </c>
      <c r="U126" s="135">
        <v>4430987.5650000004</v>
      </c>
    </row>
    <row r="127" spans="1:21" ht="13.5" thickBot="1" x14ac:dyDescent="0.25">
      <c r="B127" s="134" t="s">
        <v>175</v>
      </c>
      <c r="C127" s="134"/>
      <c r="D127" s="134"/>
      <c r="E127" s="134"/>
      <c r="F127" s="134"/>
      <c r="G127" s="134"/>
      <c r="H127" s="104"/>
      <c r="I127" s="133"/>
      <c r="J127" s="133"/>
      <c r="K127" s="133"/>
      <c r="L127" s="104"/>
      <c r="M127" s="104"/>
      <c r="N127" s="1" t="s">
        <v>174</v>
      </c>
      <c r="O127" s="132" t="s">
        <v>173</v>
      </c>
      <c r="P127" s="130" t="e">
        <f>+P126+P125+P108+P107+P101</f>
        <v>#REF!</v>
      </c>
      <c r="Q127" s="130">
        <v>83857811.262673378</v>
      </c>
      <c r="R127" s="131" t="e">
        <f>+P127-Q127</f>
        <v>#REF!</v>
      </c>
      <c r="S127" s="130">
        <v>84906933.644999996</v>
      </c>
      <c r="T127" s="130">
        <v>83857811.262673378</v>
      </c>
      <c r="U127" s="130">
        <v>82997599.656061053</v>
      </c>
    </row>
    <row r="128" spans="1:21" ht="14.25" thickBot="1" x14ac:dyDescent="0.3">
      <c r="A128" s="1" t="s">
        <v>172</v>
      </c>
      <c r="B128" s="129"/>
      <c r="C128" s="128"/>
      <c r="D128" s="127"/>
      <c r="E128" s="126"/>
      <c r="F128" s="125"/>
      <c r="G128" s="124"/>
      <c r="H128" s="98"/>
      <c r="I128" s="123">
        <v>39447</v>
      </c>
      <c r="J128" s="122" t="s">
        <v>171</v>
      </c>
      <c r="K128" s="121" t="s">
        <v>170</v>
      </c>
      <c r="L128" s="120">
        <v>2018</v>
      </c>
      <c r="M128" s="99" t="s">
        <v>152</v>
      </c>
      <c r="N128" s="71"/>
      <c r="O128" s="119"/>
      <c r="P128" s="109" t="e">
        <f>+H118-P127</f>
        <v>#REF!</v>
      </c>
      <c r="Q128" s="108"/>
      <c r="R128" s="104"/>
      <c r="S128" s="3"/>
    </row>
  </sheetData>
  <pageMargins left="0.17" right="0.74803149606299213" top="0.35433070866141736" bottom="0.27559055118110237" header="0.19685039370078741" footer="0.19685039370078741"/>
  <pageSetup paperSize="9" scale="29" orientation="portrait" r:id="rId1"/>
  <headerFooter alignWithMargins="0"/>
  <rowBreaks count="2" manualBreakCount="2">
    <brk id="68" min="1" max="12" man="1"/>
    <brk id="125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3A436-F89B-4765-822D-940F4038327D}">
  <sheetPr>
    <pageSetUpPr fitToPage="1"/>
  </sheetPr>
  <dimension ref="A1:U64"/>
  <sheetViews>
    <sheetView topLeftCell="N1" zoomScale="85" zoomScaleNormal="85" workbookViewId="0">
      <selection activeCell="AA1" activeCellId="5" sqref="T1:T1048576 U1:U1048576 W1:W1048576 X1:X1048576 Z1:Z1048576 AA1:AA1048576"/>
    </sheetView>
  </sheetViews>
  <sheetFormatPr defaultRowHeight="12.75" x14ac:dyDescent="0.2"/>
  <cols>
    <col min="1" max="1" width="6.28515625" style="1" hidden="1" customWidth="1"/>
    <col min="2" max="2" width="2.5703125" style="1" hidden="1" customWidth="1"/>
    <col min="3" max="3" width="2" style="1" hidden="1" customWidth="1"/>
    <col min="4" max="4" width="4.5703125" style="3" hidden="1" customWidth="1"/>
    <col min="5" max="5" width="1" style="1" hidden="1" customWidth="1"/>
    <col min="6" max="6" width="1.28515625" style="1" hidden="1" customWidth="1"/>
    <col min="7" max="7" width="42.42578125" style="1" hidden="1" customWidth="1"/>
    <col min="8" max="8" width="15.28515625" style="1" hidden="1" customWidth="1"/>
    <col min="9" max="10" width="17.42578125" style="1" hidden="1" customWidth="1"/>
    <col min="11" max="11" width="5.28515625" style="2" hidden="1" customWidth="1"/>
    <col min="12" max="12" width="14.7109375" style="1" hidden="1" customWidth="1"/>
    <col min="13" max="13" width="15.5703125" style="1" hidden="1" customWidth="1"/>
    <col min="14" max="14" width="2.28515625" style="1" customWidth="1"/>
    <col min="15" max="15" width="60.85546875" style="1" customWidth="1"/>
    <col min="16" max="17" width="14.42578125" style="1" hidden="1" customWidth="1"/>
    <col min="18" max="18" width="14.5703125" style="1" hidden="1" customWidth="1"/>
    <col min="19" max="19" width="14.42578125" style="1" bestFit="1" customWidth="1"/>
    <col min="20" max="20" width="13.42578125" style="1" bestFit="1" customWidth="1"/>
    <col min="21" max="21" width="12.85546875" style="1" customWidth="1"/>
    <col min="22" max="16384" width="9.140625" style="1"/>
  </cols>
  <sheetData>
    <row r="1" spans="1:21" ht="14.25" thickBot="1" x14ac:dyDescent="0.3">
      <c r="A1" s="1" t="s">
        <v>172</v>
      </c>
      <c r="B1" s="129"/>
      <c r="C1" s="128"/>
      <c r="D1" s="127"/>
      <c r="E1" s="126"/>
      <c r="F1" s="125"/>
      <c r="G1" s="124"/>
      <c r="H1" s="98"/>
      <c r="I1" s="123">
        <v>39447</v>
      </c>
      <c r="J1" s="122" t="s">
        <v>171</v>
      </c>
      <c r="K1" s="121" t="s">
        <v>170</v>
      </c>
      <c r="L1" s="120">
        <v>2018</v>
      </c>
      <c r="M1" s="99" t="s">
        <v>152</v>
      </c>
      <c r="N1" s="71"/>
      <c r="O1" s="119"/>
      <c r="P1" s="109" t="e">
        <f>+#REF!-#REF!</f>
        <v>#REF!</v>
      </c>
      <c r="Q1" s="108"/>
      <c r="R1" s="104"/>
      <c r="S1" s="3"/>
    </row>
    <row r="2" spans="1:21" x14ac:dyDescent="0.2">
      <c r="A2" s="1" t="s">
        <v>169</v>
      </c>
      <c r="B2" s="45" t="s">
        <v>168</v>
      </c>
      <c r="C2" s="44"/>
      <c r="D2" s="29"/>
      <c r="E2" s="24" t="s">
        <v>167</v>
      </c>
      <c r="F2" s="23"/>
      <c r="G2" s="22"/>
      <c r="H2" s="116"/>
      <c r="I2" s="118"/>
      <c r="J2" s="118"/>
      <c r="K2" s="117"/>
      <c r="L2" s="116"/>
      <c r="M2" s="115"/>
      <c r="N2" s="71"/>
      <c r="O2" s="114"/>
      <c r="P2" s="114"/>
      <c r="Q2" s="108"/>
      <c r="R2" s="104"/>
      <c r="S2" s="3"/>
    </row>
    <row r="3" spans="1:21" x14ac:dyDescent="0.2">
      <c r="A3" s="1" t="s">
        <v>166</v>
      </c>
      <c r="B3" s="45"/>
      <c r="C3" s="44"/>
      <c r="D3" s="29" t="s">
        <v>165</v>
      </c>
      <c r="E3" s="24"/>
      <c r="F3" s="23"/>
      <c r="G3" s="22" t="s">
        <v>164</v>
      </c>
      <c r="H3" s="33">
        <f>SUMIF('[1]BDV 2024'!$B$1:$B$65536,$A1,'[1]BDV 2024'!$O$1:$O$65536)</f>
        <v>32220566</v>
      </c>
      <c r="I3" s="31">
        <v>397914257.74000001</v>
      </c>
      <c r="J3" s="31">
        <f>+H3-I3</f>
        <v>-365693691.74000001</v>
      </c>
      <c r="K3" s="28">
        <f>IF(I3=0,0,J3/I3*100)</f>
        <v>-91.902635964089242</v>
      </c>
      <c r="L3" s="30">
        <v>34113126.380000003</v>
      </c>
      <c r="M3" s="39">
        <f>H3-L3</f>
        <v>-1892560.3800000027</v>
      </c>
      <c r="N3" s="71"/>
      <c r="O3" s="109"/>
      <c r="P3" s="108"/>
      <c r="Q3" s="108"/>
      <c r="R3" s="104"/>
      <c r="S3" s="3"/>
    </row>
    <row r="4" spans="1:21" x14ac:dyDescent="0.2">
      <c r="A4" s="17" t="s">
        <v>163</v>
      </c>
      <c r="B4" s="45"/>
      <c r="C4" s="57"/>
      <c r="D4" s="29" t="s">
        <v>162</v>
      </c>
      <c r="E4" s="113"/>
      <c r="F4" s="23"/>
      <c r="G4" s="59" t="s">
        <v>161</v>
      </c>
      <c r="H4" s="33">
        <f>SUMIF('[1]BDV 2024'!$B$1:$B$65536,$A2,'[1]BDV 2024'!$O$1:$O$65536)</f>
        <v>1521497.74</v>
      </c>
      <c r="I4" s="31">
        <v>4790794.38</v>
      </c>
      <c r="J4" s="31">
        <f>+H4-I4</f>
        <v>-3269296.6399999997</v>
      </c>
      <c r="K4" s="28">
        <f>IF(I4=0,0,J4/I4*100)</f>
        <v>-68.241222241727684</v>
      </c>
      <c r="L4" s="30">
        <v>778143.40000000014</v>
      </c>
      <c r="M4" s="39">
        <f>H4-L4</f>
        <v>743354.33999999985</v>
      </c>
      <c r="N4" s="71"/>
      <c r="O4" s="109"/>
      <c r="P4" s="109"/>
      <c r="Q4" s="108"/>
      <c r="R4" s="104"/>
      <c r="S4" s="112"/>
    </row>
    <row r="5" spans="1:21" x14ac:dyDescent="0.2">
      <c r="A5" s="1" t="s">
        <v>160</v>
      </c>
      <c r="B5" s="45"/>
      <c r="C5" s="57"/>
      <c r="D5" s="29" t="s">
        <v>159</v>
      </c>
      <c r="E5" s="111"/>
      <c r="F5" s="110"/>
      <c r="G5" s="43" t="s">
        <v>158</v>
      </c>
      <c r="H5" s="33">
        <f>SUMIF('[1]BDV 2024'!$B$1:$B$65536,$A3,'[1]BDV 2024'!$O$1:$O$65536)</f>
        <v>15114.41</v>
      </c>
      <c r="I5" s="31">
        <v>3251431.51</v>
      </c>
      <c r="J5" s="31">
        <f>+H5-I5</f>
        <v>-3236317.0999999996</v>
      </c>
      <c r="K5" s="28">
        <f>IF(I5=0,0,J5/I5*100)</f>
        <v>-99.535145982515246</v>
      </c>
      <c r="L5" s="30">
        <v>8483.7866666666669</v>
      </c>
      <c r="M5" s="39">
        <f>H5-L5</f>
        <v>6630.623333333333</v>
      </c>
      <c r="N5" s="71"/>
      <c r="O5" s="109"/>
      <c r="P5" s="109"/>
      <c r="Q5" s="108"/>
      <c r="R5" s="104"/>
      <c r="S5" s="3"/>
    </row>
    <row r="6" spans="1:21" x14ac:dyDescent="0.2">
      <c r="B6" s="45"/>
      <c r="C6" s="57"/>
      <c r="D6" s="29" t="s">
        <v>157</v>
      </c>
      <c r="E6" s="24"/>
      <c r="F6" s="103"/>
      <c r="G6" s="22" t="s">
        <v>156</v>
      </c>
      <c r="H6" s="42">
        <f>SUMIF('[1]BDV 2024'!$B$1:$B$65536,$A4,'[1]BDV 2024'!$O$1:$O$65536)</f>
        <v>0</v>
      </c>
      <c r="I6" s="31">
        <v>1842746.64</v>
      </c>
      <c r="J6" s="31">
        <f>+H6-I6</f>
        <v>-1842746.64</v>
      </c>
      <c r="K6" s="28">
        <f>IF(I6=0,0,J6/I6*100)</f>
        <v>-100</v>
      </c>
      <c r="L6" s="41">
        <v>0</v>
      </c>
      <c r="M6" s="40">
        <f>H6-L6</f>
        <v>0</v>
      </c>
      <c r="N6" s="107"/>
      <c r="O6" s="104"/>
      <c r="P6" s="104"/>
      <c r="Q6" s="106"/>
      <c r="R6" s="104"/>
      <c r="S6" s="3"/>
    </row>
    <row r="7" spans="1:21" ht="13.5" thickBot="1" x14ac:dyDescent="0.25">
      <c r="B7" s="45"/>
      <c r="C7" s="44"/>
      <c r="D7" s="29" t="s">
        <v>155</v>
      </c>
      <c r="E7" s="105"/>
      <c r="F7" s="23"/>
      <c r="G7" s="43" t="s">
        <v>154</v>
      </c>
      <c r="H7" s="33">
        <f>SUMIF('[1]BDV 2024'!$B$1:$B$65536,$A5,'[1]BDV 2024'!$O$1:$O$65536)</f>
        <v>1090614.1499999999</v>
      </c>
      <c r="I7" s="31">
        <v>2766484.45</v>
      </c>
      <c r="J7" s="31">
        <f>+H7-I7</f>
        <v>-1675870.3000000003</v>
      </c>
      <c r="K7" s="28">
        <f>IF(I7=0,0,J7/I7*100)</f>
        <v>-60.577615030512831</v>
      </c>
      <c r="L7" s="30">
        <v>808858</v>
      </c>
      <c r="M7" s="39">
        <f>H7-L7</f>
        <v>281756.14999999991</v>
      </c>
      <c r="P7" s="104"/>
      <c r="Q7" s="104"/>
      <c r="R7" s="104"/>
      <c r="S7" s="3"/>
    </row>
    <row r="8" spans="1:21" ht="14.25" thickBot="1" x14ac:dyDescent="0.3">
      <c r="B8" s="45"/>
      <c r="C8" s="44"/>
      <c r="D8" s="44"/>
      <c r="E8" s="38" t="s">
        <v>153</v>
      </c>
      <c r="F8" s="103"/>
      <c r="G8" s="69"/>
      <c r="H8" s="102">
        <f>ROUND(SUM(H3:H7),2)</f>
        <v>34847792.299999997</v>
      </c>
      <c r="I8" s="101">
        <f>SUM(I3:I7)</f>
        <v>410565714.71999997</v>
      </c>
      <c r="J8" s="37">
        <f>+H8-I8</f>
        <v>-375717922.41999996</v>
      </c>
      <c r="K8" s="36">
        <f>IF(H8=0,0,J8/I8*100)</f>
        <v>-91.512249793247904</v>
      </c>
      <c r="L8" s="100">
        <v>35708611.57</v>
      </c>
      <c r="M8" s="62">
        <f>H8-L8</f>
        <v>-860819.27000000328</v>
      </c>
      <c r="O8" s="35" t="s">
        <v>52</v>
      </c>
      <c r="P8" s="98">
        <v>45657</v>
      </c>
      <c r="Q8" s="97">
        <v>45291</v>
      </c>
      <c r="R8" s="99" t="s">
        <v>152</v>
      </c>
      <c r="S8" s="97">
        <v>44926</v>
      </c>
      <c r="T8" s="97">
        <v>45291</v>
      </c>
      <c r="U8" s="98">
        <v>45657</v>
      </c>
    </row>
    <row r="9" spans="1:21" x14ac:dyDescent="0.2">
      <c r="A9" s="1" t="s">
        <v>151</v>
      </c>
      <c r="B9" s="45"/>
      <c r="C9" s="44"/>
      <c r="D9" s="29"/>
      <c r="E9" s="24"/>
      <c r="F9" s="23"/>
      <c r="G9" s="22"/>
      <c r="H9" s="84"/>
      <c r="I9" s="96"/>
      <c r="J9" s="96"/>
      <c r="K9" s="96"/>
      <c r="L9" s="83"/>
      <c r="M9" s="27"/>
      <c r="N9" s="71"/>
      <c r="O9" s="9" t="s">
        <v>51</v>
      </c>
      <c r="P9" s="34"/>
      <c r="Q9" s="34"/>
      <c r="R9" s="34"/>
      <c r="S9" s="34"/>
      <c r="T9" s="34"/>
      <c r="U9" s="34"/>
    </row>
    <row r="10" spans="1:21" x14ac:dyDescent="0.2">
      <c r="B10" s="45" t="s">
        <v>150</v>
      </c>
      <c r="C10" s="44"/>
      <c r="D10" s="29"/>
      <c r="E10" s="24" t="s">
        <v>149</v>
      </c>
      <c r="F10" s="23"/>
      <c r="G10" s="22"/>
      <c r="H10" s="95"/>
      <c r="I10" s="94"/>
      <c r="J10" s="94"/>
      <c r="K10" s="94"/>
      <c r="L10" s="93"/>
      <c r="M10" s="92"/>
      <c r="N10" s="71"/>
      <c r="O10" s="14" t="s">
        <v>49</v>
      </c>
      <c r="P10" s="18">
        <f>+'[1]BDV 2024'!Q525</f>
        <v>1521497.74</v>
      </c>
      <c r="Q10" s="18">
        <v>1521497.74</v>
      </c>
      <c r="R10" s="88">
        <f>+P10-Q10</f>
        <v>0</v>
      </c>
      <c r="S10" s="18">
        <v>1521497.74</v>
      </c>
      <c r="T10" s="18">
        <v>1521497.74</v>
      </c>
      <c r="U10" s="18">
        <v>1521497.74</v>
      </c>
    </row>
    <row r="11" spans="1:21" ht="25.5" x14ac:dyDescent="0.2">
      <c r="A11" s="1" t="s">
        <v>148</v>
      </c>
      <c r="B11" s="45"/>
      <c r="C11" s="44"/>
      <c r="D11" s="29">
        <v>1</v>
      </c>
      <c r="E11" s="24"/>
      <c r="F11" s="23"/>
      <c r="G11" s="22" t="s">
        <v>147</v>
      </c>
      <c r="H11" s="33">
        <f>SUMIF('[1]BDV 2024'!$B$1:$B$65536,$A9,'[1]BDV 2024'!$O$1:$O$65536)</f>
        <v>1312552.05207483</v>
      </c>
      <c r="I11" s="31">
        <v>36454661.75999999</v>
      </c>
      <c r="J11" s="31">
        <f>+H11-I11</f>
        <v>-35142109.707925163</v>
      </c>
      <c r="K11" s="28">
        <f>IF(I11=0,0,J11/I11*100)</f>
        <v>-96.399494636060439</v>
      </c>
      <c r="L11" s="30">
        <v>572735.89333333331</v>
      </c>
      <c r="M11" s="39">
        <f>H11-L11-1</f>
        <v>739815.15874149674</v>
      </c>
      <c r="N11" s="71"/>
      <c r="O11" s="14" t="s">
        <v>48</v>
      </c>
      <c r="P11" s="18">
        <v>0</v>
      </c>
      <c r="Q11" s="18">
        <v>0</v>
      </c>
      <c r="R11" s="88">
        <f>+P11-Q11</f>
        <v>0</v>
      </c>
      <c r="S11" s="18">
        <v>0</v>
      </c>
      <c r="T11" s="18">
        <v>0</v>
      </c>
      <c r="U11" s="18">
        <v>0</v>
      </c>
    </row>
    <row r="12" spans="1:21" x14ac:dyDescent="0.2">
      <c r="A12" s="1" t="s">
        <v>146</v>
      </c>
      <c r="B12" s="45"/>
      <c r="C12" s="44"/>
      <c r="D12" s="29">
        <v>2</v>
      </c>
      <c r="E12" s="24"/>
      <c r="F12" s="23"/>
      <c r="G12" s="22" t="s">
        <v>145</v>
      </c>
      <c r="H12" s="91">
        <f>ROUND(H13+H14+H15+H16,2)</f>
        <v>3514150.16</v>
      </c>
      <c r="I12" s="50">
        <f>I13+I14+I15+I16</f>
        <v>250588121.60999995</v>
      </c>
      <c r="J12" s="50">
        <f>J13+J14+J15+J16</f>
        <v>-247073971.45065302</v>
      </c>
      <c r="K12" s="50">
        <f>K13+K14+K15+K16</f>
        <v>-264.48189373303592</v>
      </c>
      <c r="L12" s="50">
        <v>1388974.79</v>
      </c>
      <c r="M12" s="39">
        <f>H12-L12</f>
        <v>2125175.37</v>
      </c>
      <c r="N12" s="71"/>
      <c r="O12" s="14" t="s">
        <v>47</v>
      </c>
      <c r="P12" s="18">
        <v>0</v>
      </c>
      <c r="Q12" s="18">
        <v>0</v>
      </c>
      <c r="R12" s="88">
        <f>+P12-Q12</f>
        <v>0</v>
      </c>
      <c r="S12" s="18">
        <v>0</v>
      </c>
      <c r="T12" s="18">
        <v>0</v>
      </c>
      <c r="U12" s="18">
        <v>0</v>
      </c>
    </row>
    <row r="13" spans="1:21" x14ac:dyDescent="0.2">
      <c r="A13" s="1" t="s">
        <v>144</v>
      </c>
      <c r="B13" s="45"/>
      <c r="C13" s="44"/>
      <c r="D13" s="29"/>
      <c r="E13" s="70" t="s">
        <v>89</v>
      </c>
      <c r="F13" s="23"/>
      <c r="G13" s="69" t="s">
        <v>143</v>
      </c>
      <c r="H13" s="90">
        <f>+SUMIF('[1]BDV 2024'!$B$1:$B$65536,$A11,'[1]BDV 2024'!$O$1:$O$65536)</f>
        <v>6394.9034013605442</v>
      </c>
      <c r="I13" s="67">
        <v>872779.04</v>
      </c>
      <c r="J13" s="67">
        <f>+H13-I13</f>
        <v>-866384.13659863954</v>
      </c>
      <c r="K13" s="28">
        <f>IF(I13=0,0,J13/I13*100)</f>
        <v>-99.267294113598268</v>
      </c>
      <c r="L13" s="89">
        <v>41456.68</v>
      </c>
      <c r="M13" s="39">
        <f>H13-L13</f>
        <v>-35061.776598639459</v>
      </c>
      <c r="N13" s="71"/>
      <c r="O13" s="14" t="s">
        <v>46</v>
      </c>
      <c r="P13" s="18">
        <v>0</v>
      </c>
      <c r="Q13" s="18">
        <v>0</v>
      </c>
      <c r="R13" s="88">
        <f>+P13-Q13</f>
        <v>0</v>
      </c>
      <c r="S13" s="18">
        <v>0</v>
      </c>
      <c r="T13" s="18">
        <v>0</v>
      </c>
      <c r="U13" s="18">
        <v>0</v>
      </c>
    </row>
    <row r="14" spans="1:21" ht="25.5" x14ac:dyDescent="0.2">
      <c r="A14" s="1" t="s">
        <v>142</v>
      </c>
      <c r="B14" s="45"/>
      <c r="C14" s="44"/>
      <c r="D14" s="29"/>
      <c r="E14" s="70" t="s">
        <v>87</v>
      </c>
      <c r="F14" s="23"/>
      <c r="G14" s="69" t="s">
        <v>141</v>
      </c>
      <c r="H14" s="81">
        <f>SUMIF('[1]BDV 2024'!$B$1:$B$65536,$A12,'[1]BDV 2024'!$O$1:$O$65536)</f>
        <v>39302</v>
      </c>
      <c r="I14" s="67">
        <v>239740095.81999996</v>
      </c>
      <c r="J14" s="67">
        <f>+H14-I14</f>
        <v>-239700793.81999996</v>
      </c>
      <c r="K14" s="28">
        <f>IF(I14=0,0,J14/I14*100)</f>
        <v>-99.983606413493092</v>
      </c>
      <c r="L14" s="78">
        <v>46439.039999999994</v>
      </c>
      <c r="M14" s="39">
        <f>H14-L14</f>
        <v>-7137.0399999999936</v>
      </c>
      <c r="N14" s="71"/>
      <c r="O14" s="14" t="s">
        <v>45</v>
      </c>
      <c r="P14" s="18">
        <f>+'[1]BDV 2024'!Q498</f>
        <v>33326295.039999999</v>
      </c>
      <c r="Q14" s="18">
        <v>35676770.039999999</v>
      </c>
      <c r="R14" s="88">
        <f>+P14-Q14</f>
        <v>-2350475</v>
      </c>
      <c r="S14" s="18">
        <v>35758510.965000004</v>
      </c>
      <c r="T14" s="18">
        <v>35676770.039999999</v>
      </c>
      <c r="U14" s="18">
        <v>33326295.039999999</v>
      </c>
    </row>
    <row r="15" spans="1:21" x14ac:dyDescent="0.2">
      <c r="A15" s="1" t="s">
        <v>140</v>
      </c>
      <c r="B15" s="45"/>
      <c r="C15" s="44"/>
      <c r="D15" s="29"/>
      <c r="E15" s="74" t="s">
        <v>102</v>
      </c>
      <c r="F15" s="23"/>
      <c r="G15" s="69" t="s">
        <v>139</v>
      </c>
      <c r="H15" s="81">
        <f>SUMIF('[1]BDV 2024'!$B$1:$B$65536,$A13,'[1]BDV 2024'!$O$1:$O$65536)</f>
        <v>159.03571428571428</v>
      </c>
      <c r="I15" s="67">
        <v>0</v>
      </c>
      <c r="J15" s="67">
        <f>+H15-I15</f>
        <v>159.03571428571428</v>
      </c>
      <c r="K15" s="28">
        <f>IF(I15=0,0,J15/I15*100)</f>
        <v>0</v>
      </c>
      <c r="L15" s="78">
        <v>35047.68</v>
      </c>
      <c r="M15" s="39">
        <f>H15-L15</f>
        <v>-34888.644285714283</v>
      </c>
      <c r="N15" s="71"/>
      <c r="O15" s="9" t="s">
        <v>44</v>
      </c>
      <c r="P15" s="8">
        <f>+P10+P11+P12+P13+P14</f>
        <v>34847792.780000001</v>
      </c>
      <c r="Q15" s="8">
        <v>37198267.780000001</v>
      </c>
      <c r="R15" s="52">
        <f>+P15-Q15</f>
        <v>-2350475</v>
      </c>
      <c r="S15" s="8">
        <f>+S10+S11+S12+S13+S14</f>
        <v>37280008.705000006</v>
      </c>
      <c r="T15" s="8">
        <f>+T10+T11+T12+T13+T14</f>
        <v>37198267.780000001</v>
      </c>
      <c r="U15" s="8">
        <f>+U10+U11+U12+U13+U14</f>
        <v>34847792.780000001</v>
      </c>
    </row>
    <row r="16" spans="1:21" x14ac:dyDescent="0.2">
      <c r="A16" s="1" t="s">
        <v>138</v>
      </c>
      <c r="B16" s="45"/>
      <c r="C16" s="44"/>
      <c r="D16" s="29"/>
      <c r="E16" s="74" t="s">
        <v>99</v>
      </c>
      <c r="F16" s="23"/>
      <c r="G16" s="69" t="s">
        <v>137</v>
      </c>
      <c r="H16" s="81">
        <f>SUMIF('[1]BDV 2024'!$B$1:$B$65536,$A14,'[1]BDV 2024'!$O$1:$O$65536)</f>
        <v>3468294.2202312923</v>
      </c>
      <c r="I16" s="67">
        <v>9975246.7500000019</v>
      </c>
      <c r="J16" s="67">
        <f>+H16-I16</f>
        <v>-6506952.5297687091</v>
      </c>
      <c r="K16" s="28">
        <f>IF(I16=0,0,J16/I16*100)</f>
        <v>-65.230993205944586</v>
      </c>
      <c r="L16" s="78">
        <v>1266031.3866666665</v>
      </c>
      <c r="M16" s="39">
        <f>H16-L16+1</f>
        <v>2202263.8335646261</v>
      </c>
      <c r="N16" s="71"/>
      <c r="O16" s="9" t="s">
        <v>43</v>
      </c>
      <c r="P16" s="6"/>
      <c r="Q16" s="6"/>
      <c r="R16" s="16">
        <f>+P16-Q16</f>
        <v>0</v>
      </c>
      <c r="S16" s="6"/>
      <c r="T16" s="6"/>
      <c r="U16" s="6"/>
    </row>
    <row r="17" spans="1:21" x14ac:dyDescent="0.2">
      <c r="A17" s="1" t="s">
        <v>136</v>
      </c>
      <c r="B17" s="45"/>
      <c r="C17" s="44"/>
      <c r="D17" s="29">
        <v>3</v>
      </c>
      <c r="E17" s="24"/>
      <c r="F17" s="23"/>
      <c r="G17" s="43" t="s">
        <v>135</v>
      </c>
      <c r="H17" s="87">
        <f>SUMIF('[1]BDV 2024'!$B$1:$B$65536,$A15,'[1]BDV 2024'!$O$1:$O$65536)</f>
        <v>1609924.7708163264</v>
      </c>
      <c r="I17" s="31">
        <v>3221331.29</v>
      </c>
      <c r="J17" s="31">
        <f>+H17-I17</f>
        <v>-1611406.5191836737</v>
      </c>
      <c r="K17" s="28">
        <f>IF(I17=0,0,J17/I17*100)</f>
        <v>-50.022999006217503</v>
      </c>
      <c r="L17" s="83">
        <v>942432.42666666664</v>
      </c>
      <c r="M17" s="39">
        <f>H17-L17-1</f>
        <v>667491.34414965974</v>
      </c>
      <c r="N17" s="71"/>
      <c r="O17" s="14" t="s">
        <v>42</v>
      </c>
      <c r="P17" s="6">
        <f>+H11</f>
        <v>1312552.05207483</v>
      </c>
      <c r="Q17" s="6">
        <v>1312552.05207483</v>
      </c>
      <c r="R17" s="16">
        <f>+P17-Q17</f>
        <v>0</v>
      </c>
      <c r="S17" s="6">
        <v>1358535.0520748303</v>
      </c>
      <c r="T17" s="6">
        <v>1312552.05207483</v>
      </c>
      <c r="U17" s="6">
        <v>1312552.05207483</v>
      </c>
    </row>
    <row r="18" spans="1:21" x14ac:dyDescent="0.2">
      <c r="A18" s="1" t="s">
        <v>134</v>
      </c>
      <c r="B18" s="45"/>
      <c r="C18" s="44"/>
      <c r="D18" s="29">
        <v>4</v>
      </c>
      <c r="E18" s="24"/>
      <c r="F18" s="23"/>
      <c r="G18" s="43" t="s">
        <v>133</v>
      </c>
      <c r="H18" s="87">
        <f>SUMIF('[1]BDV 2024'!$B$1:$B$65536,$A16,'[1]BDV 2024'!$O$1:$O$65536)</f>
        <v>817901.53928571427</v>
      </c>
      <c r="I18" s="31">
        <v>980774.99</v>
      </c>
      <c r="J18" s="31">
        <f>+H18-I18</f>
        <v>-162873.45071428572</v>
      </c>
      <c r="K18" s="28">
        <f>IF(I18=0,0,J18/I18*100)</f>
        <v>-16.606607262108682</v>
      </c>
      <c r="L18" s="83">
        <v>462870.65333333332</v>
      </c>
      <c r="M18" s="39">
        <f>H18-L18-1</f>
        <v>355029.88595238095</v>
      </c>
      <c r="N18" s="71"/>
      <c r="O18" s="14" t="s">
        <v>41</v>
      </c>
      <c r="P18" s="6">
        <f>+H12+H17</f>
        <v>5124074.9308163263</v>
      </c>
      <c r="Q18" s="6">
        <v>5374695.9308163263</v>
      </c>
      <c r="R18" s="16">
        <f>+P18-Q18</f>
        <v>-250621</v>
      </c>
      <c r="S18" s="6">
        <v>6371559.9308163263</v>
      </c>
      <c r="T18" s="6">
        <v>5374695.9308163263</v>
      </c>
      <c r="U18" s="6">
        <v>5124074.9308163263</v>
      </c>
    </row>
    <row r="19" spans="1:21" x14ac:dyDescent="0.2">
      <c r="A19" s="1" t="s">
        <v>132</v>
      </c>
      <c r="B19" s="45"/>
      <c r="C19" s="44"/>
      <c r="D19" s="29">
        <v>5</v>
      </c>
      <c r="E19" s="24"/>
      <c r="F19" s="23"/>
      <c r="G19" s="43" t="s">
        <v>131</v>
      </c>
      <c r="H19" s="84">
        <f>SUMIF('[1]BDV 2024'!$B$1:$B$65536,$A17,'[1]BDV 2024'!$O$1:$O$65536)</f>
        <v>7103043.0499999998</v>
      </c>
      <c r="I19" s="31">
        <v>97605298.339999989</v>
      </c>
      <c r="J19" s="31">
        <f>+H19-I19</f>
        <v>-90502255.289999992</v>
      </c>
      <c r="K19" s="28">
        <f>IF(I19=0,0,J19/I19*100)</f>
        <v>-92.722687015148367</v>
      </c>
      <c r="L19" s="83">
        <v>6922958.6655555544</v>
      </c>
      <c r="M19" s="39">
        <f>H19-L19</f>
        <v>180084.38444444537</v>
      </c>
      <c r="N19" s="71"/>
      <c r="O19" s="14" t="s">
        <v>40</v>
      </c>
      <c r="P19" s="6">
        <f>+H18</f>
        <v>817901.53928571427</v>
      </c>
      <c r="Q19" s="6">
        <v>817901.53928571427</v>
      </c>
      <c r="R19" s="16">
        <f>+P19-Q19</f>
        <v>0</v>
      </c>
      <c r="S19" s="6">
        <v>1230510.5392857143</v>
      </c>
      <c r="T19" s="6">
        <v>817901.53928571427</v>
      </c>
      <c r="U19" s="6">
        <v>817901.53928571427</v>
      </c>
    </row>
    <row r="20" spans="1:21" x14ac:dyDescent="0.2">
      <c r="A20" s="1" t="s">
        <v>130</v>
      </c>
      <c r="B20" s="45"/>
      <c r="C20" s="44"/>
      <c r="D20" s="29">
        <v>6</v>
      </c>
      <c r="E20" s="24"/>
      <c r="F20" s="23"/>
      <c r="G20" s="43" t="s">
        <v>129</v>
      </c>
      <c r="H20" s="84">
        <f>SUMIF('[1]BDV 2024'!$B$1:$B$65536,$A18,'[1]BDV 2024'!$O$1:$O$65536)</f>
        <v>799028</v>
      </c>
      <c r="I20" s="31">
        <v>230524.79</v>
      </c>
      <c r="J20" s="31">
        <f>+H20-I20</f>
        <v>568503.21</v>
      </c>
      <c r="K20" s="28">
        <f>IF(I20=0,0,J20/I20*100)</f>
        <v>246.61261376704863</v>
      </c>
      <c r="L20" s="83">
        <v>188647.53111111108</v>
      </c>
      <c r="M20" s="39">
        <f>H20-L20</f>
        <v>610380.46888888895</v>
      </c>
      <c r="N20" s="71"/>
      <c r="O20" s="14" t="s">
        <v>39</v>
      </c>
      <c r="P20" s="6">
        <f>+P21+P22+P23+P24+P25</f>
        <v>19564279.530000001</v>
      </c>
      <c r="Q20" s="6">
        <v>21131204.239999998</v>
      </c>
      <c r="R20" s="16">
        <f>+P20-Q20</f>
        <v>-1566924.7099999972</v>
      </c>
      <c r="S20" s="6">
        <v>21207128.240000002</v>
      </c>
      <c r="T20" s="6">
        <v>21131204.239999998</v>
      </c>
      <c r="U20" s="6">
        <f>+U21+U22</f>
        <v>19564279.530000001</v>
      </c>
    </row>
    <row r="21" spans="1:21" x14ac:dyDescent="0.2">
      <c r="A21" s="1" t="s">
        <v>128</v>
      </c>
      <c r="B21" s="45"/>
      <c r="C21" s="44"/>
      <c r="D21" s="29">
        <v>7</v>
      </c>
      <c r="E21" s="24"/>
      <c r="F21" s="23"/>
      <c r="G21" s="43" t="s">
        <v>127</v>
      </c>
      <c r="H21" s="84">
        <f>SUMIF('[1]BDV 2024'!$B$1:$B$65536,$A19,'[1]BDV 2024'!$O$1:$O$65536)</f>
        <v>7736703</v>
      </c>
      <c r="I21" s="31">
        <v>11449425.07</v>
      </c>
      <c r="J21" s="31">
        <f>+H21-I21</f>
        <v>-3712722.0700000003</v>
      </c>
      <c r="K21" s="28">
        <f>IF(I21=0,0,J21/I21*100)</f>
        <v>-32.427148501352654</v>
      </c>
      <c r="L21" s="83">
        <v>5924995.8088888889</v>
      </c>
      <c r="M21" s="39">
        <f>H21-L21</f>
        <v>1811707.1911111111</v>
      </c>
      <c r="N21" s="71"/>
      <c r="O21" s="11" t="s">
        <v>38</v>
      </c>
      <c r="P21" s="16">
        <f>+'[1]BDV 2024'!Q382</f>
        <v>15358964.300000001</v>
      </c>
      <c r="Q21" s="16">
        <v>16567354.609999999</v>
      </c>
      <c r="R21" s="16">
        <f>+P21-Q21</f>
        <v>-1208390.3099999987</v>
      </c>
      <c r="S21" s="16">
        <v>16627657.98</v>
      </c>
      <c r="T21" s="16">
        <v>16567354.609999999</v>
      </c>
      <c r="U21" s="16">
        <v>15358964.300000001</v>
      </c>
    </row>
    <row r="22" spans="1:21" x14ac:dyDescent="0.2">
      <c r="B22" s="45"/>
      <c r="C22" s="44"/>
      <c r="D22" s="29">
        <v>8</v>
      </c>
      <c r="E22" s="24"/>
      <c r="F22" s="23"/>
      <c r="G22" s="43" t="s">
        <v>126</v>
      </c>
      <c r="H22" s="84">
        <f>SUMIF('[1]BDV 2024'!$B$1:$B$65536,$A20,'[1]BDV 2024'!$O$1:$O$65536)</f>
        <v>3925505.48</v>
      </c>
      <c r="I22" s="31">
        <v>15585022.980000002</v>
      </c>
      <c r="J22" s="31">
        <f>+H22-I22</f>
        <v>-11659517.500000002</v>
      </c>
      <c r="K22" s="28">
        <f>IF(I22=0,0,J22/I22*100)</f>
        <v>-74.812321515101161</v>
      </c>
      <c r="L22" s="83">
        <v>2681888.9255555556</v>
      </c>
      <c r="M22" s="39">
        <f>H22-L22</f>
        <v>1243616.5544444444</v>
      </c>
      <c r="N22" s="71"/>
      <c r="O22" s="11" t="s">
        <v>37</v>
      </c>
      <c r="P22" s="16">
        <f>+'[1]BDV 2024'!Q396</f>
        <v>4205315.2300000004</v>
      </c>
      <c r="Q22" s="6">
        <v>4563849.63</v>
      </c>
      <c r="R22" s="16">
        <f>+P22-Q22</f>
        <v>-358534.39999999944</v>
      </c>
      <c r="S22" s="16">
        <v>4579470.26</v>
      </c>
      <c r="T22" s="16">
        <v>4563849.63</v>
      </c>
      <c r="U22" s="16">
        <v>4205315.2300000004</v>
      </c>
    </row>
    <row r="23" spans="1:21" x14ac:dyDescent="0.2">
      <c r="A23" s="1" t="s">
        <v>125</v>
      </c>
      <c r="B23" s="45"/>
      <c r="C23" s="44"/>
      <c r="D23" s="29">
        <v>9</v>
      </c>
      <c r="E23" s="24"/>
      <c r="F23" s="23"/>
      <c r="G23" s="43" t="s">
        <v>124</v>
      </c>
      <c r="H23" s="84">
        <f>SUMIF('[1]BDV 2024'!$B$1:$B$65536,$A21,'[1]BDV 2024'!$O$1:$O$65536)</f>
        <v>962213.4058163265</v>
      </c>
      <c r="I23" s="31">
        <v>4362930.21</v>
      </c>
      <c r="J23" s="31">
        <f>+H23-I23</f>
        <v>-3400716.8041836736</v>
      </c>
      <c r="K23" s="28">
        <f>IF(I23=0,0,J23/I23*100)</f>
        <v>-77.945707139415219</v>
      </c>
      <c r="L23" s="83">
        <v>898682.53666666651</v>
      </c>
      <c r="M23" s="39">
        <f>H23-L23</f>
        <v>63530.869149659993</v>
      </c>
      <c r="N23" s="71"/>
      <c r="O23" s="11" t="s">
        <v>36</v>
      </c>
      <c r="P23" s="6">
        <v>0</v>
      </c>
      <c r="Q23" s="6">
        <v>0</v>
      </c>
      <c r="R23" s="16">
        <f>+P23-Q23</f>
        <v>0</v>
      </c>
      <c r="S23" s="6">
        <v>0</v>
      </c>
      <c r="T23" s="6">
        <v>0</v>
      </c>
      <c r="U23" s="6">
        <v>0</v>
      </c>
    </row>
    <row r="24" spans="1:21" x14ac:dyDescent="0.2">
      <c r="A24" s="1" t="s">
        <v>123</v>
      </c>
      <c r="B24" s="45"/>
      <c r="C24" s="44"/>
      <c r="D24" s="29">
        <v>10</v>
      </c>
      <c r="E24" s="24"/>
      <c r="F24" s="23"/>
      <c r="G24" s="43" t="s">
        <v>122</v>
      </c>
      <c r="H24" s="84">
        <f>ROUND(SUM(H25:H28),2)</f>
        <v>872371.52</v>
      </c>
      <c r="I24" s="32">
        <f>SUM(I25:I28)</f>
        <v>86914.33</v>
      </c>
      <c r="J24" s="31">
        <f>+H24-I24</f>
        <v>785457.19000000006</v>
      </c>
      <c r="K24" s="28">
        <f>IF(I24=0,0,J24/I24*100)</f>
        <v>903.71425517518242</v>
      </c>
      <c r="L24" s="83">
        <v>46098.080000000002</v>
      </c>
      <c r="M24" s="39">
        <f>H24-L24</f>
        <v>826273.44000000006</v>
      </c>
      <c r="N24" s="71"/>
      <c r="O24" s="11" t="s">
        <v>35</v>
      </c>
      <c r="P24" s="6">
        <v>0</v>
      </c>
      <c r="Q24" s="6">
        <v>0</v>
      </c>
      <c r="R24" s="16">
        <f>+P24-Q24</f>
        <v>0</v>
      </c>
      <c r="S24" s="6">
        <v>0</v>
      </c>
      <c r="T24" s="6">
        <v>0</v>
      </c>
      <c r="U24" s="6">
        <v>0</v>
      </c>
    </row>
    <row r="25" spans="1:21" x14ac:dyDescent="0.2">
      <c r="A25" s="1" t="s">
        <v>121</v>
      </c>
      <c r="B25" s="45"/>
      <c r="C25" s="44"/>
      <c r="D25" s="29"/>
      <c r="E25" s="70" t="s">
        <v>89</v>
      </c>
      <c r="F25" s="23"/>
      <c r="G25" s="86" t="s">
        <v>120</v>
      </c>
      <c r="H25" s="42">
        <f>SUMIF('[1]BDV 2024'!$B$1:$B$65536,$A23,'[1]BDV 2024'!$O$1:$O$65536)</f>
        <v>0</v>
      </c>
      <c r="I25" s="61">
        <v>0</v>
      </c>
      <c r="J25" s="61">
        <f>+H25-I25</f>
        <v>0</v>
      </c>
      <c r="K25" s="61">
        <f>IF(I25=0,0,J25/I25*100)</f>
        <v>0</v>
      </c>
      <c r="L25" s="41">
        <v>0</v>
      </c>
      <c r="M25" s="40">
        <f>H25-L25</f>
        <v>0</v>
      </c>
      <c r="N25" s="71"/>
      <c r="O25" s="11" t="s">
        <v>34</v>
      </c>
      <c r="P25" s="6">
        <v>0</v>
      </c>
      <c r="Q25" s="6">
        <v>0</v>
      </c>
      <c r="R25" s="16">
        <f>+P25-Q25</f>
        <v>0</v>
      </c>
      <c r="S25" s="6">
        <v>0</v>
      </c>
      <c r="T25" s="6">
        <v>0</v>
      </c>
      <c r="U25" s="6">
        <v>0</v>
      </c>
    </row>
    <row r="26" spans="1:21" x14ac:dyDescent="0.2">
      <c r="A26" s="1" t="s">
        <v>119</v>
      </c>
      <c r="B26" s="45"/>
      <c r="C26" s="44"/>
      <c r="D26" s="29"/>
      <c r="E26" s="70" t="s">
        <v>87</v>
      </c>
      <c r="F26" s="23"/>
      <c r="G26" s="86" t="s">
        <v>118</v>
      </c>
      <c r="H26" s="42">
        <f>SUMIF('[1]BDV 2024'!$B$1:$B$65536,$A24,'[1]BDV 2024'!$O$1:$O$65536)</f>
        <v>0</v>
      </c>
      <c r="I26" s="61">
        <v>0</v>
      </c>
      <c r="J26" s="61">
        <f>+H26-I26</f>
        <v>0</v>
      </c>
      <c r="K26" s="61">
        <f>IF(I26=0,0,J26/I26*100)</f>
        <v>0</v>
      </c>
      <c r="L26" s="41">
        <v>0</v>
      </c>
      <c r="M26" s="40">
        <f>H26-L26</f>
        <v>0</v>
      </c>
      <c r="N26" s="71"/>
      <c r="O26" s="14" t="s">
        <v>33</v>
      </c>
      <c r="P26" s="6">
        <f>+P27+P28+P29+P30</f>
        <v>5331881.7799999993</v>
      </c>
      <c r="Q26" s="6">
        <v>5912720.8499999996</v>
      </c>
      <c r="R26" s="16">
        <f>+P26-Q26</f>
        <v>-580839.0700000003</v>
      </c>
      <c r="S26" s="6">
        <v>4274676</v>
      </c>
      <c r="T26" s="6">
        <v>5912720.8499999996</v>
      </c>
      <c r="U26" s="6">
        <v>5331881.7799999993</v>
      </c>
    </row>
    <row r="27" spans="1:21" x14ac:dyDescent="0.2">
      <c r="B27" s="45"/>
      <c r="C27" s="44"/>
      <c r="D27" s="29"/>
      <c r="E27" s="74" t="s">
        <v>102</v>
      </c>
      <c r="F27" s="23"/>
      <c r="G27" s="73" t="s">
        <v>117</v>
      </c>
      <c r="H27" s="81">
        <f>SUMIF('[1]BDV 2024'!$B$1:$B$65536,$A25,'[1]BDV 2024'!$O$1:$O$65536)</f>
        <v>0</v>
      </c>
      <c r="I27" s="67">
        <v>0</v>
      </c>
      <c r="J27" s="67">
        <f>+H27-I27</f>
        <v>0</v>
      </c>
      <c r="K27" s="28">
        <f>IF(I27=0,0,J27/I27*100)</f>
        <v>0</v>
      </c>
      <c r="L27" s="78">
        <v>145.19999999999999</v>
      </c>
      <c r="M27" s="61">
        <f>H27-L27</f>
        <v>-145.19999999999999</v>
      </c>
      <c r="N27" s="71"/>
      <c r="O27" s="13" t="s">
        <v>32</v>
      </c>
      <c r="P27" s="16">
        <f>+H24</f>
        <v>872371.52</v>
      </c>
      <c r="Q27" s="16">
        <v>945847.8</v>
      </c>
      <c r="R27" s="16">
        <f>+P27-Q27</f>
        <v>-73476.280000000028</v>
      </c>
      <c r="S27" s="16">
        <v>459922.49</v>
      </c>
      <c r="T27" s="16">
        <v>945847.8</v>
      </c>
      <c r="U27" s="16">
        <v>872371.52</v>
      </c>
    </row>
    <row r="28" spans="1:21" x14ac:dyDescent="0.2">
      <c r="A28" s="1" t="s">
        <v>116</v>
      </c>
      <c r="B28" s="45"/>
      <c r="C28" s="44"/>
      <c r="D28" s="29"/>
      <c r="E28" s="74" t="s">
        <v>99</v>
      </c>
      <c r="F28" s="23"/>
      <c r="G28" s="85" t="s">
        <v>115</v>
      </c>
      <c r="H28" s="81">
        <f>SUMIF('[1]BDV 2024'!$B$1:$B$65536,$A26,'[1]BDV 2024'!$O$1:$O$65536)</f>
        <v>872371.52077220078</v>
      </c>
      <c r="I28" s="67">
        <v>86914.33</v>
      </c>
      <c r="J28" s="67">
        <f>+H28-I28</f>
        <v>785457.19077220082</v>
      </c>
      <c r="K28" s="28">
        <f>IF(I28=0,0,J28/I28*100)</f>
        <v>903.71425606364437</v>
      </c>
      <c r="L28" s="78">
        <v>45952.88</v>
      </c>
      <c r="M28" s="39">
        <f>H28-L28</f>
        <v>826418.64077220077</v>
      </c>
      <c r="N28" s="71"/>
      <c r="O28" s="13" t="s">
        <v>31</v>
      </c>
      <c r="P28" s="16">
        <f>+H29+H32</f>
        <v>4459510.26</v>
      </c>
      <c r="Q28" s="16">
        <v>4966873.05</v>
      </c>
      <c r="R28" s="16">
        <f>+P28-Q28</f>
        <v>-507362.79000000004</v>
      </c>
      <c r="S28" s="16">
        <v>3814753.51</v>
      </c>
      <c r="T28" s="16">
        <v>4966873.05</v>
      </c>
      <c r="U28" s="16">
        <v>4459510.26</v>
      </c>
    </row>
    <row r="29" spans="1:21" x14ac:dyDescent="0.2">
      <c r="A29" s="1" t="s">
        <v>114</v>
      </c>
      <c r="B29" s="45"/>
      <c r="C29" s="44"/>
      <c r="D29" s="29">
        <v>11</v>
      </c>
      <c r="E29" s="24"/>
      <c r="F29" s="23"/>
      <c r="G29" s="43" t="s">
        <v>113</v>
      </c>
      <c r="H29" s="84">
        <f>ROUND(SUM(H30:H31),2)</f>
        <v>500335.92</v>
      </c>
      <c r="I29" s="32">
        <f>SUM(I30:I31)</f>
        <v>2799402.76</v>
      </c>
      <c r="J29" s="31">
        <f>+H29-I29</f>
        <v>-2299066.84</v>
      </c>
      <c r="K29" s="28">
        <f>IF(I29=0,0,J29/I29*100)</f>
        <v>-82.127047699274257</v>
      </c>
      <c r="L29" s="83">
        <v>449289</v>
      </c>
      <c r="M29" s="83">
        <f>H29-L29+1</f>
        <v>51047.919999999984</v>
      </c>
      <c r="N29" s="71"/>
      <c r="O29" s="13" t="s">
        <v>30</v>
      </c>
      <c r="P29" s="6">
        <v>0</v>
      </c>
      <c r="Q29" s="6">
        <v>0</v>
      </c>
      <c r="R29" s="16">
        <f>+P29-Q29</f>
        <v>0</v>
      </c>
      <c r="S29" s="6">
        <v>0</v>
      </c>
      <c r="T29" s="6">
        <v>0</v>
      </c>
      <c r="U29" s="6">
        <v>0</v>
      </c>
    </row>
    <row r="30" spans="1:21" ht="23.25" x14ac:dyDescent="0.2">
      <c r="B30" s="45"/>
      <c r="C30" s="44"/>
      <c r="D30" s="29"/>
      <c r="E30" s="70" t="s">
        <v>89</v>
      </c>
      <c r="F30" s="82"/>
      <c r="G30" s="73" t="s">
        <v>112</v>
      </c>
      <c r="H30" s="42">
        <f>SUMIF('[1]BDV 2024'!$B$1:$B$65536,$A28,'[1]BDV 2024'!$O$1:$O$65536)</f>
        <v>0</v>
      </c>
      <c r="I30" s="80">
        <v>199268.78</v>
      </c>
      <c r="J30" s="80">
        <f>+H30-I30</f>
        <v>-199268.78</v>
      </c>
      <c r="K30" s="79">
        <f>IF(I30=0,0,J30/I30*100)</f>
        <v>-100</v>
      </c>
      <c r="L30" s="78">
        <v>0</v>
      </c>
      <c r="M30" s="66">
        <f>H30-L30</f>
        <v>0</v>
      </c>
      <c r="N30" s="71"/>
      <c r="O30" s="13" t="s">
        <v>29</v>
      </c>
      <c r="P30" s="16">
        <f>+H38</f>
        <v>0</v>
      </c>
      <c r="Q30" s="16">
        <v>0</v>
      </c>
      <c r="R30" s="16">
        <f>+P30-Q30</f>
        <v>0</v>
      </c>
      <c r="S30" s="16">
        <v>0</v>
      </c>
      <c r="T30" s="16">
        <v>0</v>
      </c>
      <c r="U30" s="16">
        <v>0</v>
      </c>
    </row>
    <row r="31" spans="1:21" ht="25.5" x14ac:dyDescent="0.2">
      <c r="A31" s="1" t="s">
        <v>111</v>
      </c>
      <c r="B31" s="45"/>
      <c r="C31" s="44"/>
      <c r="D31" s="29"/>
      <c r="E31" s="70" t="s">
        <v>87</v>
      </c>
      <c r="F31" s="82"/>
      <c r="G31" s="73" t="s">
        <v>110</v>
      </c>
      <c r="H31" s="81">
        <f>SUMIF('[1]BDV 2024'!$B$1:$B$65536,$A29,'[1]BDV 2024'!$O$1:$O$65536)</f>
        <v>500335.92450000002</v>
      </c>
      <c r="I31" s="80">
        <v>2600133.98</v>
      </c>
      <c r="J31" s="80">
        <f>+H31-I31</f>
        <v>-2099798.0554999998</v>
      </c>
      <c r="K31" s="79">
        <f>IF(I31=0,0,J31/I31*100)</f>
        <v>-80.757302187174204</v>
      </c>
      <c r="L31" s="78">
        <v>449289</v>
      </c>
      <c r="M31" s="77">
        <f>H31-L31</f>
        <v>51046.924500000023</v>
      </c>
      <c r="N31" s="71"/>
      <c r="O31" s="12" t="s">
        <v>28</v>
      </c>
      <c r="P31" s="6">
        <f>+H39</f>
        <v>480355.93</v>
      </c>
      <c r="Q31" s="6">
        <v>104484.8</v>
      </c>
      <c r="R31" s="16">
        <f>+P31-Q31</f>
        <v>375871.13</v>
      </c>
      <c r="S31" s="6">
        <v>104484.8</v>
      </c>
      <c r="T31" s="6">
        <v>104484.8</v>
      </c>
      <c r="U31" s="6">
        <v>104484.8</v>
      </c>
    </row>
    <row r="32" spans="1:21" x14ac:dyDescent="0.2">
      <c r="A32" s="1" t="s">
        <v>109</v>
      </c>
      <c r="B32" s="45"/>
      <c r="C32" s="44"/>
      <c r="D32" s="29">
        <v>12</v>
      </c>
      <c r="E32" s="24"/>
      <c r="F32" s="23"/>
      <c r="G32" s="43" t="s">
        <v>108</v>
      </c>
      <c r="H32" s="76">
        <f>ROUND(SUM(H33:H37),2)</f>
        <v>3959174.34</v>
      </c>
      <c r="I32" s="32">
        <f>SUM(I33:I37)</f>
        <v>1801017.38</v>
      </c>
      <c r="J32" s="31">
        <f>+H32-I32</f>
        <v>2158156.96</v>
      </c>
      <c r="K32" s="28">
        <f>IF(I32=0,0,J32/I32*100)</f>
        <v>119.82987970943401</v>
      </c>
      <c r="L32" s="75">
        <v>1172000</v>
      </c>
      <c r="M32" s="39">
        <f>H32-L32</f>
        <v>2787174.34</v>
      </c>
      <c r="N32" s="71"/>
      <c r="O32" s="14" t="s">
        <v>27</v>
      </c>
      <c r="P32" s="6">
        <f>+'[1]BDV 2024'!Q462</f>
        <v>0</v>
      </c>
      <c r="Q32" s="6">
        <v>0</v>
      </c>
      <c r="R32" s="16">
        <f>+P32-Q32</f>
        <v>0</v>
      </c>
      <c r="S32" s="6">
        <v>0</v>
      </c>
      <c r="T32" s="6">
        <v>0</v>
      </c>
      <c r="U32" s="6">
        <v>0</v>
      </c>
    </row>
    <row r="33" spans="1:21" x14ac:dyDescent="0.2">
      <c r="A33" s="1" t="s">
        <v>107</v>
      </c>
      <c r="B33" s="45"/>
      <c r="C33" s="44"/>
      <c r="D33" s="29"/>
      <c r="E33" s="70" t="s">
        <v>89</v>
      </c>
      <c r="F33" s="23"/>
      <c r="G33" s="73" t="s">
        <v>106</v>
      </c>
      <c r="H33" s="68">
        <f>SUMIF('[1]BDV 2024'!$B$1:$B$65536,$A31,'[1]BDV 2024'!$O$1:$O$65536)</f>
        <v>1450137.61</v>
      </c>
      <c r="I33" s="67">
        <v>0</v>
      </c>
      <c r="J33" s="67">
        <f>+H33-I33</f>
        <v>1450137.61</v>
      </c>
      <c r="K33" s="28">
        <f>IF(I33=0,0,J33/I33*100)</f>
        <v>0</v>
      </c>
      <c r="L33" s="66">
        <v>114000</v>
      </c>
      <c r="M33" s="39">
        <f>H33-L33</f>
        <v>1336137.6100000001</v>
      </c>
      <c r="N33" s="71"/>
      <c r="O33" s="14" t="s">
        <v>26</v>
      </c>
      <c r="P33" s="6">
        <f>+'[1]BDV 2024'!Q463</f>
        <v>200000</v>
      </c>
      <c r="Q33" s="6">
        <v>100000</v>
      </c>
      <c r="R33" s="16">
        <f>+P33-Q33</f>
        <v>100000</v>
      </c>
      <c r="S33" s="6">
        <v>300000</v>
      </c>
      <c r="T33" s="6">
        <v>100000</v>
      </c>
      <c r="U33" s="6">
        <v>200000</v>
      </c>
    </row>
    <row r="34" spans="1:21" x14ac:dyDescent="0.2">
      <c r="A34" s="1" t="s">
        <v>105</v>
      </c>
      <c r="B34" s="45"/>
      <c r="C34" s="44"/>
      <c r="D34" s="29"/>
      <c r="E34" s="70" t="s">
        <v>87</v>
      </c>
      <c r="F34" s="23"/>
      <c r="G34" s="73" t="s">
        <v>104</v>
      </c>
      <c r="H34" s="68">
        <f>SUMIF('[1]BDV 2024'!$B$1:$B$65536,$A32,'[1]BDV 2024'!$O$1:$O$65536)</f>
        <v>1514113.0989999999</v>
      </c>
      <c r="I34" s="67">
        <v>1194019.97</v>
      </c>
      <c r="J34" s="67">
        <f>+H34-I34</f>
        <v>320093.12899999996</v>
      </c>
      <c r="K34" s="28">
        <f>IF(I34=0,0,J34/I34*100)</f>
        <v>26.808021393478032</v>
      </c>
      <c r="L34" s="66">
        <v>677000</v>
      </c>
      <c r="M34" s="39">
        <f>H34-L34</f>
        <v>837113.09899999993</v>
      </c>
      <c r="N34" s="71"/>
      <c r="O34" s="14" t="s">
        <v>25</v>
      </c>
      <c r="P34" s="6">
        <f>+H23-H60+[1]E!B12</f>
        <v>962213.4058163265</v>
      </c>
      <c r="Q34" s="6">
        <v>965213.4058163265</v>
      </c>
      <c r="R34" s="16">
        <f>+P34-Q34</f>
        <v>-3000</v>
      </c>
      <c r="S34" s="6">
        <v>975213.4058163265</v>
      </c>
      <c r="T34" s="6">
        <v>965213.4058163265</v>
      </c>
      <c r="U34" s="6">
        <v>962213.4058163265</v>
      </c>
    </row>
    <row r="35" spans="1:21" x14ac:dyDescent="0.2">
      <c r="A35" s="1" t="s">
        <v>103</v>
      </c>
      <c r="B35" s="45"/>
      <c r="C35" s="44"/>
      <c r="D35" s="29"/>
      <c r="E35" s="74" t="s">
        <v>102</v>
      </c>
      <c r="F35" s="23"/>
      <c r="G35" s="73" t="s">
        <v>101</v>
      </c>
      <c r="H35" s="68">
        <f>SUMIF('[1]BDV 2024'!$B$1:$B$65536,$A33,'[1]BDV 2024'!$O$1:$O$65536)</f>
        <v>27432.63</v>
      </c>
      <c r="I35" s="67">
        <v>22833.31</v>
      </c>
      <c r="J35" s="67">
        <f>+H35-I35</f>
        <v>4599.32</v>
      </c>
      <c r="K35" s="28">
        <f>IF(I35=0,0,J35/I35*100)</f>
        <v>20.143027883386154</v>
      </c>
      <c r="L35" s="66">
        <v>148000</v>
      </c>
      <c r="M35" s="39">
        <f>H35-L35</f>
        <v>-120567.37</v>
      </c>
      <c r="N35" s="71"/>
      <c r="O35" s="15" t="s">
        <v>14</v>
      </c>
      <c r="P35" s="8">
        <f>+P17+P18+P19+P20+P26+P31+P32+P33+P34</f>
        <v>33793259.167993195</v>
      </c>
      <c r="Q35" s="8">
        <v>35718772.817993194</v>
      </c>
      <c r="R35" s="52">
        <f>+P35-Q35</f>
        <v>-1925513.6499999985</v>
      </c>
      <c r="S35" s="8">
        <f>+S17+S18+S19+S20+S26+S31+S33+S34</f>
        <v>35822107.967993192</v>
      </c>
      <c r="T35" s="8">
        <f>+T17+T18+T19+T20+T26+T31+T33+T34</f>
        <v>35718772.817993194</v>
      </c>
      <c r="U35" s="8">
        <f>+U17+U18+U19+U20+U26+U31+U33+U34</f>
        <v>33417388.0379932</v>
      </c>
    </row>
    <row r="36" spans="1:21" x14ac:dyDescent="0.2">
      <c r="A36" s="1" t="s">
        <v>100</v>
      </c>
      <c r="B36" s="45"/>
      <c r="C36" s="44"/>
      <c r="D36" s="29"/>
      <c r="E36" s="74" t="s">
        <v>99</v>
      </c>
      <c r="F36" s="23"/>
      <c r="G36" s="73" t="s">
        <v>98</v>
      </c>
      <c r="H36" s="68">
        <f>SUMIF('[1]BDV 2024'!$B$1:$B$65536,$A34,'[1]BDV 2024'!$O$1:$O$65536)</f>
        <v>600871</v>
      </c>
      <c r="I36" s="67">
        <v>48403.76</v>
      </c>
      <c r="J36" s="67">
        <f>+H36-I36</f>
        <v>552467.24</v>
      </c>
      <c r="K36" s="28">
        <f>IF(I36=0,0,J36/I36*100)</f>
        <v>1141.3725710564631</v>
      </c>
      <c r="L36" s="66">
        <v>150000</v>
      </c>
      <c r="M36" s="39">
        <f>H36-L36</f>
        <v>450871</v>
      </c>
      <c r="N36" s="71"/>
      <c r="O36" s="15" t="s">
        <v>24</v>
      </c>
      <c r="P36" s="8">
        <f>+P15-P35</f>
        <v>1054533.6120068058</v>
      </c>
      <c r="Q36" s="8">
        <v>1479494.9620068073</v>
      </c>
      <c r="R36" s="52">
        <f>+P36-Q36</f>
        <v>-424961.35000000149</v>
      </c>
      <c r="S36" s="8">
        <f>+S15-S35</f>
        <v>1457900.7370068133</v>
      </c>
      <c r="T36" s="8">
        <f>+T15-T35</f>
        <v>1479494.9620068073</v>
      </c>
      <c r="U36" s="8">
        <f>+U15-U35</f>
        <v>1430404.7420068011</v>
      </c>
    </row>
    <row r="37" spans="1:21" x14ac:dyDescent="0.2">
      <c r="A37" s="1" t="s">
        <v>97</v>
      </c>
      <c r="B37" s="45"/>
      <c r="C37" s="44"/>
      <c r="D37" s="29"/>
      <c r="E37" s="74" t="s">
        <v>96</v>
      </c>
      <c r="F37" s="23"/>
      <c r="G37" s="73" t="s">
        <v>95</v>
      </c>
      <c r="H37" s="68">
        <f>SUMIF('[1]BDV 2024'!$B$1:$B$65536,$A35,'[1]BDV 2024'!$O$1:$O$65536)</f>
        <v>366620</v>
      </c>
      <c r="I37" s="67">
        <v>535760.34</v>
      </c>
      <c r="J37" s="67">
        <f>+H37-I37</f>
        <v>-169140.33999999997</v>
      </c>
      <c r="K37" s="28">
        <f>IF(I37=0,0,J37/I37*100)</f>
        <v>-31.570149444059254</v>
      </c>
      <c r="L37" s="66">
        <v>83000</v>
      </c>
      <c r="M37" s="39">
        <f>H37-L37</f>
        <v>283620</v>
      </c>
      <c r="N37" s="71"/>
      <c r="O37" s="9" t="s">
        <v>23</v>
      </c>
      <c r="P37" s="6"/>
      <c r="Q37" s="6"/>
      <c r="R37" s="16">
        <f>+P37-Q37</f>
        <v>0</v>
      </c>
      <c r="S37" s="6"/>
      <c r="T37" s="6"/>
      <c r="U37" s="6"/>
    </row>
    <row r="38" spans="1:21" x14ac:dyDescent="0.2">
      <c r="A38" s="1" t="s">
        <v>94</v>
      </c>
      <c r="B38" s="45"/>
      <c r="C38" s="44"/>
      <c r="D38" s="29">
        <v>13</v>
      </c>
      <c r="E38" s="24"/>
      <c r="F38" s="23"/>
      <c r="G38" s="22" t="s">
        <v>93</v>
      </c>
      <c r="H38" s="33">
        <f>SUMIF('[1]BDV 2024'!$B$1:$B$65536,$A36,'[1]BDV 2024'!$O$1:$O$65536)</f>
        <v>0</v>
      </c>
      <c r="I38" s="31">
        <v>0</v>
      </c>
      <c r="J38" s="31">
        <f>+H38-I38</f>
        <v>0</v>
      </c>
      <c r="K38" s="28">
        <f>IF(I38=0,0,J38/I38*100)</f>
        <v>0</v>
      </c>
      <c r="L38" s="30">
        <v>50000</v>
      </c>
      <c r="M38" s="39">
        <f>H38-L38</f>
        <v>-50000</v>
      </c>
      <c r="N38" s="71"/>
      <c r="O38" s="12" t="s">
        <v>22</v>
      </c>
      <c r="P38" s="6">
        <v>0</v>
      </c>
      <c r="Q38" s="6">
        <v>0</v>
      </c>
      <c r="R38" s="16">
        <f>+P38-Q38</f>
        <v>0</v>
      </c>
      <c r="S38" s="6">
        <v>0</v>
      </c>
      <c r="T38" s="6">
        <v>0</v>
      </c>
      <c r="U38" s="6">
        <v>0</v>
      </c>
    </row>
    <row r="39" spans="1:21" x14ac:dyDescent="0.2">
      <c r="A39" s="1" t="s">
        <v>92</v>
      </c>
      <c r="B39" s="45"/>
      <c r="C39" s="57"/>
      <c r="D39" s="29">
        <v>14</v>
      </c>
      <c r="E39" s="24"/>
      <c r="F39" s="23"/>
      <c r="G39" s="22" t="s">
        <v>91</v>
      </c>
      <c r="H39" s="51">
        <f>ROUND(SUM(H40:H41),2)</f>
        <v>480355.93</v>
      </c>
      <c r="I39" s="31">
        <f>SUM(I40:I41)</f>
        <v>213510.8</v>
      </c>
      <c r="J39" s="31">
        <f>+H39-I39</f>
        <v>266845.13</v>
      </c>
      <c r="K39" s="28">
        <f>IF(I39=0,0,J39/I39*100)</f>
        <v>124.97968721020203</v>
      </c>
      <c r="L39" s="72">
        <v>-54394.52</v>
      </c>
      <c r="M39" s="39">
        <f>H39-L39</f>
        <v>534750.44999999995</v>
      </c>
      <c r="N39" s="71"/>
      <c r="O39" s="12" t="s">
        <v>21</v>
      </c>
      <c r="P39" s="6">
        <f>+P40+P41+P42+P43</f>
        <v>3510.7999999999997</v>
      </c>
      <c r="Q39" s="6">
        <v>3510.7999999999997</v>
      </c>
      <c r="R39" s="16">
        <f>+P39-Q39</f>
        <v>0</v>
      </c>
      <c r="S39" s="6">
        <f>+S40+S41+S42+S43</f>
        <v>3510.7999999999997</v>
      </c>
      <c r="T39" s="6">
        <f>+T40+T41+T42+T43</f>
        <v>3510.7999999999997</v>
      </c>
      <c r="U39" s="6">
        <f>+U40+U41+U42+U43</f>
        <v>3510.7999999999997</v>
      </c>
    </row>
    <row r="40" spans="1:21" x14ac:dyDescent="0.2">
      <c r="A40" s="1" t="s">
        <v>90</v>
      </c>
      <c r="B40" s="45"/>
      <c r="C40" s="44"/>
      <c r="D40" s="29"/>
      <c r="E40" s="70" t="s">
        <v>89</v>
      </c>
      <c r="F40" s="23"/>
      <c r="G40" s="69" t="s">
        <v>88</v>
      </c>
      <c r="H40" s="68">
        <f>ROUND(SUMIF('[1]BDV 2024'!$B$1:$B$65536,$A38,'[1]BDV 2024'!$O$1:$O$65536)-SUMIF('[1]BDV 2024'!$B$1:$B$65536,#REF!,'[1]BDV 2024'!$O$1:$O$65536),2)</f>
        <v>339637.78</v>
      </c>
      <c r="I40" s="67">
        <v>255330.5</v>
      </c>
      <c r="J40" s="67">
        <f>+H40-I40</f>
        <v>84307.280000000028</v>
      </c>
      <c r="K40" s="28">
        <f>IF(I40=0,0,J40/I40*100)</f>
        <v>33.018883368810236</v>
      </c>
      <c r="L40" s="66">
        <v>34.700000000000003</v>
      </c>
      <c r="M40" s="39">
        <f>H40-L40</f>
        <v>339603.08</v>
      </c>
      <c r="N40" s="71"/>
      <c r="O40" s="13" t="s">
        <v>20</v>
      </c>
      <c r="P40" s="6">
        <v>0</v>
      </c>
      <c r="Q40" s="6">
        <v>0</v>
      </c>
      <c r="R40" s="16">
        <f>+P40-Q40</f>
        <v>0</v>
      </c>
      <c r="S40" s="6">
        <v>0</v>
      </c>
      <c r="T40" s="6">
        <v>0</v>
      </c>
      <c r="U40" s="6">
        <v>0</v>
      </c>
    </row>
    <row r="41" spans="1:21" ht="23.25" x14ac:dyDescent="0.2">
      <c r="B41" s="45"/>
      <c r="C41" s="57"/>
      <c r="D41" s="29"/>
      <c r="E41" s="70" t="s">
        <v>87</v>
      </c>
      <c r="F41" s="23"/>
      <c r="G41" s="69" t="s">
        <v>86</v>
      </c>
      <c r="H41" s="68">
        <f>ROUND(SUMIF('[1]BDV 2024'!$B$1:$B$65536,$A39,'[1]BDV 2024'!$O$1:$O$65536)-SUMIF('[1]BDV 2024'!$B$1:$B$65536,#REF!,'[1]BDV 2024'!$O$1:$O$65536),2)</f>
        <v>140718.15</v>
      </c>
      <c r="I41" s="67">
        <v>-41819.699999999997</v>
      </c>
      <c r="J41" s="67">
        <f>+H41-I41</f>
        <v>182537.84999999998</v>
      </c>
      <c r="K41" s="28">
        <f>IF(I41=0,0,J41/I41*100)</f>
        <v>-436.48770794625494</v>
      </c>
      <c r="L41" s="66">
        <v>-54429.22</v>
      </c>
      <c r="M41" s="39">
        <f>H41-L41</f>
        <v>195147.37</v>
      </c>
      <c r="N41" s="65"/>
      <c r="O41" s="13" t="s">
        <v>19</v>
      </c>
      <c r="P41" s="6">
        <v>0</v>
      </c>
      <c r="Q41" s="6">
        <v>0</v>
      </c>
      <c r="R41" s="16">
        <f>+P41-Q41</f>
        <v>0</v>
      </c>
      <c r="S41" s="6">
        <v>0</v>
      </c>
      <c r="T41" s="6">
        <v>0</v>
      </c>
      <c r="U41" s="6">
        <v>0</v>
      </c>
    </row>
    <row r="42" spans="1:21" ht="23.25" x14ac:dyDescent="0.2">
      <c r="B42" s="45"/>
      <c r="C42" s="44"/>
      <c r="D42" s="29">
        <v>15</v>
      </c>
      <c r="E42" s="24"/>
      <c r="F42" s="23"/>
      <c r="G42" s="43" t="s">
        <v>85</v>
      </c>
      <c r="H42" s="33">
        <f>SUMIF('[1]BDV 2024'!$B$1:$B$65536,$A40,'[1]BDV 2024'!$O$1:$O$65536)</f>
        <v>200000</v>
      </c>
      <c r="I42" s="31">
        <v>8276511.5999999996</v>
      </c>
      <c r="J42" s="31">
        <f>+H42-I42</f>
        <v>-8076511.5999999996</v>
      </c>
      <c r="K42" s="28">
        <f>IF(I42=0,0,J42/I42*100)</f>
        <v>-97.583522990531421</v>
      </c>
      <c r="L42" s="30">
        <v>3904696.7319</v>
      </c>
      <c r="M42" s="39">
        <f>H42-L42</f>
        <v>-3704696.7319</v>
      </c>
      <c r="O42" s="13" t="s">
        <v>18</v>
      </c>
      <c r="P42" s="6">
        <v>0</v>
      </c>
      <c r="Q42" s="6">
        <v>0</v>
      </c>
      <c r="R42" s="16">
        <f>+P42-Q42</f>
        <v>0</v>
      </c>
      <c r="S42" s="6">
        <v>0</v>
      </c>
      <c r="T42" s="6">
        <v>0</v>
      </c>
      <c r="U42" s="6">
        <v>0</v>
      </c>
    </row>
    <row r="43" spans="1:21" ht="13.5" x14ac:dyDescent="0.25">
      <c r="B43" s="45"/>
      <c r="C43" s="57"/>
      <c r="D43" s="29"/>
      <c r="E43" s="38" t="s">
        <v>84</v>
      </c>
      <c r="F43" s="23"/>
      <c r="G43" s="22"/>
      <c r="H43" s="21">
        <f>ROUND(H11+H12+H17+H18+H19+H20+H21+H22+H23+H24+H29+H32+H38+H39+H42,2)</f>
        <v>33793259.170000002</v>
      </c>
      <c r="I43" s="64">
        <f>I11+I12+I17+I18+I19+I20+I21+I22+I23+I24+I29+I32+I38+I39+I42</f>
        <v>433655447.90999997</v>
      </c>
      <c r="J43" s="64">
        <f>J11+J12+J17+J18+J19+J20+J21+J22+J23+J24+J29+J32+J38+J39+J42</f>
        <v>-399862188.74265981</v>
      </c>
      <c r="K43" s="64">
        <f>K11+K12+K17+K18+K19+K20+K21+K22+K23+K24+K29+K32+K38+K39+K42</f>
        <v>510.00700636362154</v>
      </c>
      <c r="L43" s="64">
        <v>25551876.52</v>
      </c>
      <c r="M43" s="62">
        <f>H43-L43</f>
        <v>8241382.6500000022</v>
      </c>
      <c r="O43" s="13" t="s">
        <v>17</v>
      </c>
      <c r="P43" s="16">
        <f>+H48+H49</f>
        <v>3510.7999999999997</v>
      </c>
      <c r="Q43" s="6">
        <v>3510.7999999999997</v>
      </c>
      <c r="R43" s="16">
        <f>+P43-Q43</f>
        <v>0</v>
      </c>
      <c r="S43" s="16">
        <v>3510.7999999999997</v>
      </c>
      <c r="T43" s="16">
        <v>3510.7999999999997</v>
      </c>
      <c r="U43" s="16">
        <v>3510.7999999999997</v>
      </c>
    </row>
    <row r="44" spans="1:21" x14ac:dyDescent="0.2">
      <c r="B44" s="60"/>
      <c r="C44" s="44"/>
      <c r="D44" s="29"/>
      <c r="E44" s="24"/>
      <c r="F44" s="23"/>
      <c r="G44" s="22"/>
      <c r="H44" s="51"/>
      <c r="I44" s="31"/>
      <c r="J44" s="31">
        <f>+H44-I44</f>
        <v>0</v>
      </c>
      <c r="K44" s="28">
        <f>IF(I44=0,0,J44/I44*100)</f>
        <v>0</v>
      </c>
      <c r="L44" s="50"/>
      <c r="M44" s="49"/>
      <c r="O44" s="12" t="s">
        <v>16</v>
      </c>
      <c r="P44" s="63">
        <f>+H50+H51</f>
        <v>-471.99</v>
      </c>
      <c r="Q44" s="63">
        <v>-471.99</v>
      </c>
      <c r="R44" s="16">
        <f>+P44-Q44</f>
        <v>0</v>
      </c>
      <c r="S44" s="6">
        <v>-471.99</v>
      </c>
      <c r="T44" s="6">
        <v>-471.99</v>
      </c>
      <c r="U44" s="63">
        <v>-471.99</v>
      </c>
    </row>
    <row r="45" spans="1:21" ht="13.5" x14ac:dyDescent="0.25">
      <c r="B45" s="60" t="s">
        <v>83</v>
      </c>
      <c r="C45" s="57"/>
      <c r="D45" s="29"/>
      <c r="E45" s="24"/>
      <c r="F45" s="23"/>
      <c r="G45" s="59"/>
      <c r="H45" s="21">
        <f>ROUND(H8-H43,2)</f>
        <v>1054533.1299999999</v>
      </c>
      <c r="I45" s="20">
        <f>I8-I43</f>
        <v>-23089733.189999998</v>
      </c>
      <c r="J45" s="20">
        <f>J8-J43</f>
        <v>24144266.32265985</v>
      </c>
      <c r="K45" s="20">
        <f>K8-K43</f>
        <v>-601.51925615686946</v>
      </c>
      <c r="L45" s="20">
        <v>10156735.050000001</v>
      </c>
      <c r="M45" s="62">
        <f>H45-L45</f>
        <v>-9102201.9200000018</v>
      </c>
      <c r="O45" s="12" t="s">
        <v>15</v>
      </c>
      <c r="P45" s="6">
        <v>0</v>
      </c>
      <c r="Q45" s="6">
        <v>0</v>
      </c>
      <c r="R45" s="16">
        <f>+P45-Q45</f>
        <v>0</v>
      </c>
      <c r="S45" s="6">
        <v>0</v>
      </c>
      <c r="T45" s="6">
        <v>0</v>
      </c>
      <c r="U45" s="6">
        <v>0</v>
      </c>
    </row>
    <row r="46" spans="1:21" x14ac:dyDescent="0.2">
      <c r="A46" s="1" t="s">
        <v>82</v>
      </c>
      <c r="B46" s="45"/>
      <c r="C46" s="44"/>
      <c r="D46" s="29"/>
      <c r="E46" s="24"/>
      <c r="F46" s="23"/>
      <c r="G46" s="59"/>
      <c r="H46" s="51"/>
      <c r="I46" s="31"/>
      <c r="J46" s="31">
        <f>+H46-I46</f>
        <v>0</v>
      </c>
      <c r="K46" s="28">
        <f>IF(I46=0,0,J46/I46*100)</f>
        <v>0</v>
      </c>
      <c r="L46" s="50"/>
      <c r="M46" s="49"/>
      <c r="O46" s="9" t="s">
        <v>14</v>
      </c>
      <c r="P46" s="8">
        <f>+P38+P39+P44+P45</f>
        <v>3038.8099999999995</v>
      </c>
      <c r="Q46" s="8">
        <v>3038.8099999999995</v>
      </c>
      <c r="R46" s="52">
        <f>+P46-Q46</f>
        <v>0</v>
      </c>
      <c r="S46" s="8">
        <f>+S39+S44</f>
        <v>3038.8099999999995</v>
      </c>
      <c r="T46" s="8">
        <f>+T39+T44</f>
        <v>3038.8099999999995</v>
      </c>
      <c r="U46" s="8">
        <f>+U39+U44</f>
        <v>3038.8099999999995</v>
      </c>
    </row>
    <row r="47" spans="1:21" x14ac:dyDescent="0.2">
      <c r="A47" s="1" t="s">
        <v>81</v>
      </c>
      <c r="B47" s="45" t="s">
        <v>80</v>
      </c>
      <c r="C47" s="44"/>
      <c r="D47" s="29"/>
      <c r="E47" s="24" t="s">
        <v>79</v>
      </c>
      <c r="F47" s="23"/>
      <c r="G47" s="22"/>
      <c r="H47" s="51"/>
      <c r="I47" s="31"/>
      <c r="J47" s="31">
        <f>+H47-I47</f>
        <v>0</v>
      </c>
      <c r="K47" s="28">
        <f>IF(I47=0,0,J47/I47*100)</f>
        <v>0</v>
      </c>
      <c r="L47" s="50"/>
      <c r="M47" s="49"/>
      <c r="O47" s="15" t="s">
        <v>13</v>
      </c>
      <c r="P47" s="6"/>
      <c r="Q47" s="6"/>
      <c r="R47" s="16">
        <f>+P47-Q47</f>
        <v>0</v>
      </c>
      <c r="S47" s="6"/>
      <c r="T47" s="6"/>
      <c r="U47" s="6"/>
    </row>
    <row r="48" spans="1:21" x14ac:dyDescent="0.2">
      <c r="A48" s="1" t="s">
        <v>78</v>
      </c>
      <c r="B48" s="45"/>
      <c r="C48" s="44"/>
      <c r="D48" s="29">
        <v>1</v>
      </c>
      <c r="E48" s="24"/>
      <c r="F48" s="23"/>
      <c r="G48" s="43" t="s">
        <v>77</v>
      </c>
      <c r="H48" s="33">
        <f>SUMIF('[1]BDV 2024'!$B$1:$B$65536,$A46,'[1]BDV 2024'!$O$1:$O$65536)</f>
        <v>3510.7999999999997</v>
      </c>
      <c r="I48" s="31">
        <v>1052.75</v>
      </c>
      <c r="J48" s="31">
        <f>+H48-I48</f>
        <v>2458.0499999999997</v>
      </c>
      <c r="K48" s="28">
        <f>IF(I48=0,0,J48/I48*100)</f>
        <v>233.48848254571357</v>
      </c>
      <c r="L48" s="30">
        <v>96285.47</v>
      </c>
      <c r="M48" s="30">
        <f>H48-L48</f>
        <v>-92774.67</v>
      </c>
      <c r="O48" s="14" t="s">
        <v>12</v>
      </c>
      <c r="P48" s="6">
        <f>+P49+P50+P51+P52</f>
        <v>0</v>
      </c>
      <c r="Q48" s="6">
        <v>0</v>
      </c>
      <c r="R48" s="16">
        <f>+P48-Q48</f>
        <v>0</v>
      </c>
      <c r="S48" s="6">
        <v>0</v>
      </c>
      <c r="T48" s="6">
        <v>0</v>
      </c>
      <c r="U48" s="6">
        <v>0</v>
      </c>
    </row>
    <row r="49" spans="1:21" x14ac:dyDescent="0.2">
      <c r="A49" s="1" t="s">
        <v>76</v>
      </c>
      <c r="B49" s="45"/>
      <c r="C49" s="57"/>
      <c r="D49" s="29">
        <v>2</v>
      </c>
      <c r="E49" s="24"/>
      <c r="F49" s="23"/>
      <c r="G49" s="22" t="s">
        <v>75</v>
      </c>
      <c r="H49" s="42">
        <f>SUMIF('[1]BDV 2024'!$B$1:$B$65536,$A47,'[1]BDV 2024'!$O$1:$O$65536)</f>
        <v>0</v>
      </c>
      <c r="I49" s="31">
        <v>0</v>
      </c>
      <c r="J49" s="31">
        <f>+H49-I49</f>
        <v>0</v>
      </c>
      <c r="K49" s="28">
        <f>IF(I49=0,0,J49/I49*100)</f>
        <v>0</v>
      </c>
      <c r="L49" s="41">
        <v>0</v>
      </c>
      <c r="M49" s="61">
        <f>H49-L49</f>
        <v>0</v>
      </c>
      <c r="O49" s="13" t="s">
        <v>11</v>
      </c>
      <c r="P49" s="6">
        <v>0</v>
      </c>
      <c r="Q49" s="6">
        <v>0</v>
      </c>
      <c r="R49" s="16">
        <f>+P49-Q49</f>
        <v>0</v>
      </c>
      <c r="S49" s="6">
        <v>0</v>
      </c>
      <c r="T49" s="6">
        <v>0</v>
      </c>
      <c r="U49" s="6">
        <v>0</v>
      </c>
    </row>
    <row r="50" spans="1:21" x14ac:dyDescent="0.2">
      <c r="B50" s="60"/>
      <c r="C50" s="44"/>
      <c r="D50" s="29">
        <v>3</v>
      </c>
      <c r="E50" s="24"/>
      <c r="F50" s="23"/>
      <c r="G50" s="22" t="s">
        <v>74</v>
      </c>
      <c r="H50" s="33">
        <f>-SUMIF('[1]BDV 2024'!$B$1:$B$65536,$A48,'[1]BDV 2024'!$O$1:$O$65536)</f>
        <v>-5.44</v>
      </c>
      <c r="I50" s="31">
        <v>-6184503.290000001</v>
      </c>
      <c r="J50" s="31">
        <f>+H50-I50</f>
        <v>6184497.8500000006</v>
      </c>
      <c r="K50" s="28">
        <f>IF(I50=0,0,J50/I50*100)</f>
        <v>-99.999912038206702</v>
      </c>
      <c r="L50" s="30">
        <v>-279.56</v>
      </c>
      <c r="M50" s="39">
        <f>H50-L50</f>
        <v>274.12</v>
      </c>
      <c r="O50" s="11" t="s">
        <v>10</v>
      </c>
      <c r="P50" s="6">
        <v>0</v>
      </c>
      <c r="Q50" s="6">
        <v>0</v>
      </c>
      <c r="R50" s="16">
        <f>+P50-Q50</f>
        <v>0</v>
      </c>
      <c r="S50" s="6">
        <v>0</v>
      </c>
      <c r="T50" s="6">
        <v>0</v>
      </c>
      <c r="U50" s="6">
        <v>0</v>
      </c>
    </row>
    <row r="51" spans="1:21" x14ac:dyDescent="0.2">
      <c r="B51" s="45"/>
      <c r="C51" s="57"/>
      <c r="D51" s="29">
        <v>4</v>
      </c>
      <c r="E51" s="24"/>
      <c r="F51" s="23"/>
      <c r="G51" s="22" t="s">
        <v>73</v>
      </c>
      <c r="H51" s="33">
        <f>-SUMIF('[1]BDV 2024'!$B$1:$B$65536,$A49,'[1]BDV 2024'!$O$1:$O$65536)</f>
        <v>-466.55</v>
      </c>
      <c r="I51" s="31">
        <v>-1223.1400000000001</v>
      </c>
      <c r="J51" s="31">
        <f>+H51-I51</f>
        <v>756.59000000000015</v>
      </c>
      <c r="K51" s="28">
        <f>IF(I51=0,0,J51/I51*100)</f>
        <v>-61.85636967150122</v>
      </c>
      <c r="L51" s="30">
        <v>-466.4666666666667</v>
      </c>
      <c r="M51" s="39">
        <f>H51-L51</f>
        <v>-8.3333333333314386E-2</v>
      </c>
      <c r="O51" s="11" t="s">
        <v>9</v>
      </c>
      <c r="P51" s="6">
        <v>0</v>
      </c>
      <c r="Q51" s="6">
        <v>0</v>
      </c>
      <c r="R51" s="16">
        <f>+P51-Q51</f>
        <v>0</v>
      </c>
      <c r="S51" s="6">
        <v>0</v>
      </c>
      <c r="T51" s="6">
        <v>0</v>
      </c>
      <c r="U51" s="6">
        <v>0</v>
      </c>
    </row>
    <row r="52" spans="1:21" ht="13.5" x14ac:dyDescent="0.25">
      <c r="B52" s="45"/>
      <c r="C52" s="44"/>
      <c r="D52" s="29"/>
      <c r="E52" s="38" t="s">
        <v>72</v>
      </c>
      <c r="F52" s="23"/>
      <c r="G52" s="22"/>
      <c r="H52" s="21">
        <f>ROUND(SUM(H48:H51),2)</f>
        <v>3038.81</v>
      </c>
      <c r="I52" s="20">
        <f>SUM(I48:I51)</f>
        <v>-6184673.6800000006</v>
      </c>
      <c r="J52" s="20">
        <f>SUM(J48:J51)</f>
        <v>6187712.4900000002</v>
      </c>
      <c r="K52" s="20">
        <f>SUM(K48:K51)</f>
        <v>71.632200836005637</v>
      </c>
      <c r="L52" s="20">
        <v>95539.44</v>
      </c>
      <c r="M52" s="19">
        <f>H52-L52</f>
        <v>-92500.63</v>
      </c>
      <c r="O52" s="11" t="s">
        <v>8</v>
      </c>
      <c r="P52" s="6">
        <v>0</v>
      </c>
      <c r="Q52" s="6">
        <v>0</v>
      </c>
      <c r="R52" s="16">
        <f>+P52-Q52</f>
        <v>0</v>
      </c>
      <c r="S52" s="6">
        <v>0</v>
      </c>
      <c r="T52" s="6">
        <v>0</v>
      </c>
      <c r="U52" s="6">
        <v>0</v>
      </c>
    </row>
    <row r="53" spans="1:21" ht="12.75" customHeight="1" x14ac:dyDescent="0.2">
      <c r="A53" s="1" t="s">
        <v>71</v>
      </c>
      <c r="B53" s="45"/>
      <c r="C53" s="57"/>
      <c r="D53" s="29"/>
      <c r="E53" s="24"/>
      <c r="F53" s="23"/>
      <c r="G53" s="59"/>
      <c r="H53" s="51"/>
      <c r="I53" s="31"/>
      <c r="J53" s="31">
        <f>+H53-I53</f>
        <v>0</v>
      </c>
      <c r="K53" s="28">
        <f>IF(I53=0,0,J53/I53*100)</f>
        <v>0</v>
      </c>
      <c r="L53" s="50"/>
      <c r="M53" s="49"/>
      <c r="O53" s="12" t="s">
        <v>7</v>
      </c>
      <c r="P53" s="6">
        <f>+P54+P55+P56</f>
        <v>0</v>
      </c>
      <c r="Q53" s="6">
        <v>0</v>
      </c>
      <c r="R53" s="16">
        <f>+P53-Q53</f>
        <v>0</v>
      </c>
      <c r="S53" s="6">
        <v>0</v>
      </c>
      <c r="T53" s="6">
        <v>0</v>
      </c>
      <c r="U53" s="6">
        <v>0</v>
      </c>
    </row>
    <row r="54" spans="1:21" x14ac:dyDescent="0.2">
      <c r="A54" s="1" t="s">
        <v>70</v>
      </c>
      <c r="B54" s="45" t="s">
        <v>69</v>
      </c>
      <c r="C54" s="44"/>
      <c r="D54" s="29"/>
      <c r="E54" s="24" t="s">
        <v>68</v>
      </c>
      <c r="F54" s="23"/>
      <c r="G54" s="22"/>
      <c r="H54" s="51"/>
      <c r="I54" s="31"/>
      <c r="J54" s="31">
        <f>+H54-I54</f>
        <v>0</v>
      </c>
      <c r="K54" s="28">
        <f>IF(I54=0,0,J54/I54*100)</f>
        <v>0</v>
      </c>
      <c r="L54" s="50"/>
      <c r="M54" s="49"/>
      <c r="O54" s="11" t="s">
        <v>6</v>
      </c>
      <c r="P54" s="6">
        <v>0</v>
      </c>
      <c r="Q54" s="6">
        <v>0</v>
      </c>
      <c r="R54" s="16">
        <f>+P54-Q54</f>
        <v>0</v>
      </c>
      <c r="S54" s="6">
        <v>0</v>
      </c>
      <c r="T54" s="6">
        <v>0</v>
      </c>
      <c r="U54" s="6">
        <v>0</v>
      </c>
    </row>
    <row r="55" spans="1:21" ht="15.75" x14ac:dyDescent="0.25">
      <c r="B55" s="58"/>
      <c r="C55" s="57"/>
      <c r="D55" s="29">
        <v>1</v>
      </c>
      <c r="E55" s="24"/>
      <c r="F55" s="23"/>
      <c r="G55" s="22" t="s">
        <v>67</v>
      </c>
      <c r="H55" s="42">
        <f>SUMIF('[1]BDV 2024'!$B$1:$B$65536,$A53,'[1]BDV 2024'!$O$1:$O$65536)</f>
        <v>0</v>
      </c>
      <c r="I55" s="41">
        <v>0</v>
      </c>
      <c r="J55" s="41">
        <f>+H55-I55</f>
        <v>0</v>
      </c>
      <c r="K55" s="41">
        <f>IF(I55=0,0,J55/I55*100)</f>
        <v>0</v>
      </c>
      <c r="L55" s="41">
        <v>0</v>
      </c>
      <c r="M55" s="40">
        <v>0</v>
      </c>
      <c r="O55" s="11" t="s">
        <v>5</v>
      </c>
      <c r="P55" s="6">
        <v>0</v>
      </c>
      <c r="Q55" s="6">
        <v>0</v>
      </c>
      <c r="R55" s="16">
        <f>+P55-Q55</f>
        <v>0</v>
      </c>
      <c r="S55" s="6">
        <v>0</v>
      </c>
      <c r="T55" s="6">
        <v>0</v>
      </c>
      <c r="U55" s="6">
        <v>0</v>
      </c>
    </row>
    <row r="56" spans="1:21" x14ac:dyDescent="0.2">
      <c r="B56" s="45"/>
      <c r="C56" s="44"/>
      <c r="D56" s="29">
        <v>2</v>
      </c>
      <c r="E56" s="24"/>
      <c r="F56" s="23"/>
      <c r="G56" s="22" t="s">
        <v>66</v>
      </c>
      <c r="H56" s="42">
        <f>SUMIF('[1]BDV 2024'!$B$1:$B$65536,$A54,'[1]BDV 2024'!$O$1:$O$65536)</f>
        <v>0</v>
      </c>
      <c r="I56" s="41">
        <v>0</v>
      </c>
      <c r="J56" s="41">
        <f>+H56-I56</f>
        <v>0</v>
      </c>
      <c r="K56" s="41">
        <f>IF(I56=0,0,J56/I56*100)</f>
        <v>0</v>
      </c>
      <c r="L56" s="41">
        <v>0</v>
      </c>
      <c r="M56" s="40">
        <v>0</v>
      </c>
      <c r="O56" s="11" t="s">
        <v>4</v>
      </c>
      <c r="P56" s="6">
        <v>0</v>
      </c>
      <c r="Q56" s="6">
        <v>0</v>
      </c>
      <c r="R56" s="16">
        <f>+P56-Q56</f>
        <v>0</v>
      </c>
      <c r="S56" s="6">
        <v>0</v>
      </c>
      <c r="T56" s="6">
        <v>0</v>
      </c>
      <c r="U56" s="6">
        <v>0</v>
      </c>
    </row>
    <row r="57" spans="1:21" ht="13.5" x14ac:dyDescent="0.25">
      <c r="B57" s="45"/>
      <c r="C57" s="44"/>
      <c r="D57" s="29"/>
      <c r="E57" s="38" t="s">
        <v>65</v>
      </c>
      <c r="F57" s="23"/>
      <c r="G57" s="22"/>
      <c r="H57" s="56">
        <f>SUM(H55:H56)</f>
        <v>0</v>
      </c>
      <c r="I57" s="55">
        <f>SUM(I55:I56)</f>
        <v>0</v>
      </c>
      <c r="J57" s="55">
        <f>+H57-I57</f>
        <v>0</v>
      </c>
      <c r="K57" s="55">
        <f>IF(I57=0,0,J57/I57*100)</f>
        <v>0</v>
      </c>
      <c r="L57" s="55">
        <v>0</v>
      </c>
      <c r="M57" s="54">
        <v>0</v>
      </c>
      <c r="O57" s="9" t="s">
        <v>3</v>
      </c>
      <c r="P57" s="10">
        <f>+P48-P53</f>
        <v>0</v>
      </c>
      <c r="Q57" s="10">
        <v>0</v>
      </c>
      <c r="R57" s="53">
        <f>+P57-Q57</f>
        <v>0</v>
      </c>
      <c r="S57" s="10">
        <v>0</v>
      </c>
      <c r="T57" s="10">
        <v>0</v>
      </c>
      <c r="U57" s="10">
        <v>0</v>
      </c>
    </row>
    <row r="58" spans="1:21" x14ac:dyDescent="0.2">
      <c r="A58" s="1" t="s">
        <v>64</v>
      </c>
      <c r="B58" s="45"/>
      <c r="C58" s="44"/>
      <c r="D58" s="29"/>
      <c r="E58" s="24"/>
      <c r="F58" s="23"/>
      <c r="G58" s="22"/>
      <c r="H58" s="51"/>
      <c r="I58" s="31"/>
      <c r="J58" s="31"/>
      <c r="K58" s="28"/>
      <c r="L58" s="50"/>
      <c r="M58" s="49"/>
      <c r="O58" s="9" t="s">
        <v>2</v>
      </c>
      <c r="P58" s="8">
        <f>+P15-P35+P46+P57</f>
        <v>1057572.4220068059</v>
      </c>
      <c r="Q58" s="8">
        <v>1482533.7720068074</v>
      </c>
      <c r="R58" s="52">
        <f>+P58-Q58</f>
        <v>-424961.35000000149</v>
      </c>
      <c r="S58" s="8">
        <f>+S36+S46</f>
        <v>1460939.5470068133</v>
      </c>
      <c r="T58" s="8">
        <f>+T36+T46</f>
        <v>1482533.7720068074</v>
      </c>
      <c r="U58" s="8">
        <f>+U36+U46</f>
        <v>1433443.5520068011</v>
      </c>
    </row>
    <row r="59" spans="1:21" x14ac:dyDescent="0.2">
      <c r="A59" s="1" t="s">
        <v>63</v>
      </c>
      <c r="B59" s="45" t="s">
        <v>62</v>
      </c>
      <c r="C59" s="44"/>
      <c r="D59" s="29"/>
      <c r="E59" s="24" t="s">
        <v>61</v>
      </c>
      <c r="F59" s="23"/>
      <c r="G59" s="22"/>
      <c r="H59" s="51"/>
      <c r="I59" s="31"/>
      <c r="J59" s="31"/>
      <c r="K59" s="28"/>
      <c r="L59" s="50"/>
      <c r="M59" s="49"/>
      <c r="O59" s="7" t="s">
        <v>1</v>
      </c>
      <c r="P59" s="6" t="e">
        <f>+#REF!</f>
        <v>#REF!</v>
      </c>
      <c r="Q59" s="6">
        <v>1451412</v>
      </c>
      <c r="R59" s="16" t="e">
        <f>+P59-Q59</f>
        <v>#REF!</v>
      </c>
      <c r="S59" s="6">
        <v>1456537</v>
      </c>
      <c r="T59" s="6">
        <v>1451412</v>
      </c>
      <c r="U59" s="6">
        <v>1403041</v>
      </c>
    </row>
    <row r="60" spans="1:21" ht="13.5" thickBot="1" x14ac:dyDescent="0.25">
      <c r="A60" s="1" t="s">
        <v>60</v>
      </c>
      <c r="B60" s="45"/>
      <c r="C60" s="44"/>
      <c r="D60" s="29">
        <v>1</v>
      </c>
      <c r="E60" s="24"/>
      <c r="F60" s="23"/>
      <c r="G60" s="22" t="s">
        <v>59</v>
      </c>
      <c r="H60" s="42">
        <f>-SUMIF('[1]BDV 2024'!$B$1:$B$65536,$A58,'[1]BDV 2024'!$O$1:$O$65536)</f>
        <v>0</v>
      </c>
      <c r="I60" s="31">
        <v>0</v>
      </c>
      <c r="J60" s="31">
        <f>+H60-I60</f>
        <v>0</v>
      </c>
      <c r="K60" s="28">
        <f>IF(I60=0,0,J60/I60*100)</f>
        <v>0</v>
      </c>
      <c r="L60" s="41">
        <v>0</v>
      </c>
      <c r="M60" s="39">
        <f>H60-L60</f>
        <v>0</v>
      </c>
      <c r="O60" s="5" t="s">
        <v>0</v>
      </c>
      <c r="P60" s="4" t="e">
        <f>+P58-P59</f>
        <v>#REF!</v>
      </c>
      <c r="Q60" s="4">
        <v>31121.772006807383</v>
      </c>
      <c r="R60" s="48" t="e">
        <f>+P60-Q60</f>
        <v>#REF!</v>
      </c>
      <c r="S60" s="4">
        <f>+S58-S59</f>
        <v>4402.5470068133436</v>
      </c>
      <c r="T60" s="4">
        <f>+T58-T59</f>
        <v>31121.772006807383</v>
      </c>
      <c r="U60" s="4">
        <f>+U58-U59</f>
        <v>30402.552006801125</v>
      </c>
    </row>
    <row r="61" spans="1:21" x14ac:dyDescent="0.2">
      <c r="A61" s="1" t="s">
        <v>58</v>
      </c>
      <c r="B61" s="45"/>
      <c r="C61" s="44"/>
      <c r="D61" s="29">
        <v>2</v>
      </c>
      <c r="E61" s="24"/>
      <c r="F61" s="23"/>
      <c r="G61" s="22" t="s">
        <v>57</v>
      </c>
      <c r="H61" s="42">
        <f>SUMIF('[1]BDV 2024'!$B$1:$B$65536,$A59,'[1]BDV 2024'!$O$1:$O$65536)</f>
        <v>0</v>
      </c>
      <c r="I61" s="41">
        <v>80</v>
      </c>
      <c r="J61" s="41">
        <f>+H61-I61</f>
        <v>-80</v>
      </c>
      <c r="K61" s="41">
        <f>IF(I61=0,0,J61/I61*100)</f>
        <v>-100</v>
      </c>
      <c r="L61" s="41">
        <v>0</v>
      </c>
      <c r="M61" s="40">
        <f>H61-L61</f>
        <v>0</v>
      </c>
      <c r="P61" s="47"/>
      <c r="S61" s="3"/>
    </row>
    <row r="62" spans="1:21" x14ac:dyDescent="0.2">
      <c r="A62" s="1" t="s">
        <v>56</v>
      </c>
      <c r="B62" s="45"/>
      <c r="C62" s="44"/>
      <c r="D62" s="29">
        <v>3</v>
      </c>
      <c r="E62" s="24"/>
      <c r="F62" s="23"/>
      <c r="G62" s="22" t="s">
        <v>55</v>
      </c>
      <c r="H62" s="42">
        <f>SUMIF('[1]BDV 2024'!$B$1:$B$65536,$A60,'[1]BDV 2024'!$O$1:$O$65536)</f>
        <v>0</v>
      </c>
      <c r="I62" s="41">
        <v>0</v>
      </c>
      <c r="J62" s="41">
        <f>+H62-I62</f>
        <v>0</v>
      </c>
      <c r="K62" s="41">
        <f>IF(I62=0,0,J62/I62*100)</f>
        <v>0</v>
      </c>
      <c r="L62" s="41">
        <v>0</v>
      </c>
      <c r="M62" s="40">
        <f>H62-L62</f>
        <v>0</v>
      </c>
      <c r="N62" s="46"/>
      <c r="Q62" s="46"/>
      <c r="S62" s="3"/>
    </row>
    <row r="63" spans="1:21" x14ac:dyDescent="0.2">
      <c r="B63" s="45"/>
      <c r="C63" s="44"/>
      <c r="D63" s="29">
        <v>4</v>
      </c>
      <c r="E63" s="24"/>
      <c r="F63" s="23"/>
      <c r="G63" s="43" t="s">
        <v>54</v>
      </c>
      <c r="H63" s="42">
        <f>SUMIF('[1]BDV 2024'!$B$1:$B$65536,$A61,'[1]BDV 2024'!$O$1:$O$65536)</f>
        <v>0</v>
      </c>
      <c r="I63" s="41">
        <v>0</v>
      </c>
      <c r="J63" s="41">
        <f>+H63-I63</f>
        <v>0</v>
      </c>
      <c r="K63" s="41">
        <f>IF(I63=0,0,J63/I63*100)</f>
        <v>0</v>
      </c>
      <c r="L63" s="41">
        <v>0</v>
      </c>
      <c r="M63" s="40">
        <f>H63-L63</f>
        <v>0</v>
      </c>
      <c r="S63" s="3"/>
    </row>
    <row r="64" spans="1:21" x14ac:dyDescent="0.2">
      <c r="B64" s="26"/>
      <c r="C64" s="25"/>
      <c r="D64" s="29">
        <v>5</v>
      </c>
      <c r="E64" s="24"/>
      <c r="F64" s="23"/>
      <c r="G64" s="22" t="s">
        <v>53</v>
      </c>
      <c r="H64" s="33">
        <f>ROUND(SUMIF('[1]BDV 2024'!$B$1:$B$65536,$A62,'[1]BDV 2024'!$O$1:$O$65536)-SUMIF('[1]BDV 2024'!$B$1:$B$65536,'conto economico'!#REF!,'[1]BDV 2024'!$O$1:$O$65536),2)</f>
        <v>0.48</v>
      </c>
      <c r="I64" s="31">
        <v>-360307.56</v>
      </c>
      <c r="J64" s="31">
        <f>+H64-I64</f>
        <v>360308.04</v>
      </c>
      <c r="K64" s="28">
        <f>IF(I64=0,0,J64/I64*100)</f>
        <v>-100.00013321951945</v>
      </c>
      <c r="L64" s="30">
        <v>113298.48</v>
      </c>
      <c r="M64" s="39">
        <f>H64-L64</f>
        <v>-113298</v>
      </c>
      <c r="S64" s="3"/>
    </row>
  </sheetData>
  <pageMargins left="0.17" right="0.74803149606299213" top="0.35433070866141736" bottom="0.27559055118110237" header="0.19685039370078741" footer="0.19685039370078741"/>
  <pageSetup paperSize="9" scale="2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stato patrimoniale</vt:lpstr>
      <vt:lpstr>conto economico</vt:lpstr>
      <vt:lpstr>'conto economico'!Area_stampa</vt:lpstr>
      <vt:lpstr>'stato patrimoniale'!Area_stampa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Guzzardi</dc:creator>
  <cp:lastModifiedBy>Antonio Guzzardi</cp:lastModifiedBy>
  <dcterms:created xsi:type="dcterms:W3CDTF">2023-06-14T11:45:59Z</dcterms:created>
  <dcterms:modified xsi:type="dcterms:W3CDTF">2023-06-14T11:53:18Z</dcterms:modified>
</cp:coreProperties>
</file>